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5655" windowWidth="11355" windowHeight="3030" firstSheet="30" activeTab="30"/>
  </bookViews>
  <sheets>
    <sheet name="%ปี2562" sheetId="1" r:id="rId1"/>
    <sheet name="%ปี62 งบ (2)" sheetId="173" r:id="rId2"/>
    <sheet name="งบประจำคุม 1ล้าน" sheetId="178" r:id="rId3"/>
    <sheet name="สำรองฯ" sheetId="188" r:id="rId4"/>
    <sheet name="ของบประจำเพิ่ม" sheetId="152" r:id="rId5"/>
    <sheet name="งบโครงการ1ล้าน(แรก) รหัส002" sheetId="185" r:id="rId6"/>
    <sheet name="งบโครงการ1ล้าน(แรก) รหัส001" sheetId="177" r:id="rId7"/>
    <sheet name="พนง.ราชการ" sheetId="110" r:id="rId8"/>
    <sheet name="39002ค่าจ้าง-ตอบแทน" sheetId="114" r:id="rId9"/>
    <sheet name="ยาม.แม่บ้าน+จ้างนักการ39002" sheetId="123" r:id="rId10"/>
    <sheet name="26004ครูพี่เลี้ยง" sheetId="125" r:id="rId11"/>
    <sheet name="ครูแผ่นดิน280410" sheetId="124" r:id="rId12"/>
    <sheet name="สมทบกองทุนลูกจ้าง" sheetId="191" r:id="rId13"/>
    <sheet name="ค่าเช่าบ้าน-ประกันสังคม" sheetId="18" r:id="rId14"/>
    <sheet name="รหัส39001ก่อนฯ" sheetId="127" r:id="rId15"/>
    <sheet name="รหัส39002ใหญ่" sheetId="184" r:id="rId16"/>
    <sheet name="รหัส32031..NT" sheetId="175" r:id="rId17"/>
    <sheet name="รหัส32031.ปฐมวัย12รร" sheetId="192" r:id="rId18"/>
    <sheet name="DLTVรหัส33061" sheetId="179" r:id="rId19"/>
    <sheet name="รหัส33061 (2)" sheetId="187" r:id="rId20"/>
    <sheet name="รหัส33062" sheetId="180" r:id="rId21"/>
    <sheet name="รหัส39007" sheetId="183" r:id="rId22"/>
    <sheet name="61037รหัส" sheetId="189" r:id="rId23"/>
    <sheet name="39004รหัสเรียนรวม" sheetId="190" r:id="rId24"/>
    <sheet name="งบยาเสพติด06036" sheetId="186" r:id="rId25"/>
    <sheet name="งบยาเสพติด68รร." sheetId="193" r:id="rId26"/>
    <sheet name="กรรมการสถานศึกษา190รร." sheetId="194" r:id="rId27"/>
    <sheet name="ค่าเช่าเน็ต39002" sheetId="182" r:id="rId28"/>
    <sheet name="ค่าพาหนะรหัส33061" sheetId="181" r:id="rId29"/>
    <sheet name="อุดหนุนร.ร." sheetId="176" r:id="rId30"/>
    <sheet name="งบกลางอื่น" sheetId="195" r:id="rId31"/>
  </sheets>
  <definedNames>
    <definedName name="_xlnm.Print_Titles" localSheetId="10">'26004ครูพี่เลี้ยง'!$4:$5</definedName>
    <definedName name="_xlnm.Print_Titles" localSheetId="8">'39002ค่าจ้าง-ตอบแทน'!$4:$5</definedName>
    <definedName name="_xlnm.Print_Titles" localSheetId="23">'39004รหัสเรียนรวม'!$5:$6</definedName>
    <definedName name="_xlnm.Print_Titles" localSheetId="22">'61037รหัส'!$5:$6</definedName>
    <definedName name="_xlnm.Print_Titles" localSheetId="18">DLTVรหัส33061!$5:$6</definedName>
    <definedName name="_xlnm.Print_Titles" localSheetId="26">กรรมการสถานศึกษา190รร.!$5:$6</definedName>
    <definedName name="_xlnm.Print_Titles" localSheetId="4">ของบประจำเพิ่ม!$5:$6</definedName>
    <definedName name="_xlnm.Print_Titles" localSheetId="11">ครูแผ่นดิน280410!$4:$5</definedName>
    <definedName name="_xlnm.Print_Titles" localSheetId="27">ค่าเช่าเน็ต39002!$4:$5</definedName>
    <definedName name="_xlnm.Print_Titles" localSheetId="13">'ค่าเช่าบ้าน-ประกันสังคม'!$5:$6</definedName>
    <definedName name="_xlnm.Print_Titles" localSheetId="28">ค่าพาหนะรหัส33061!$5:$6</definedName>
    <definedName name="_xlnm.Print_Titles" localSheetId="30">งบกลางอื่น!$4:$5</definedName>
    <definedName name="_xlnm.Print_Titles" localSheetId="6">'งบโครงการ1ล้าน(แรก) รหัส001'!$4:$5</definedName>
    <definedName name="_xlnm.Print_Titles" localSheetId="5">'งบโครงการ1ล้าน(แรก) รหัส002'!$4:$5</definedName>
    <definedName name="_xlnm.Print_Titles" localSheetId="2">'งบประจำคุม 1ล้าน'!$4:$5</definedName>
    <definedName name="_xlnm.Print_Titles" localSheetId="24">งบยาเสพติด06036!$5:$6</definedName>
    <definedName name="_xlnm.Print_Titles" localSheetId="25">งบยาเสพติด68รร.!$4:$5</definedName>
    <definedName name="_xlnm.Print_Titles" localSheetId="7">พนง.ราชการ!$4:$5</definedName>
    <definedName name="_xlnm.Print_Titles" localSheetId="9">'ยาม.แม่บ้าน+จ้างนักการ39002'!$4:$5</definedName>
    <definedName name="_xlnm.Print_Titles" localSheetId="16">รหัส32031..NT!$4:$5</definedName>
    <definedName name="_xlnm.Print_Titles" localSheetId="17">รหัส32031.ปฐมวัย12รร!$5:$6</definedName>
    <definedName name="_xlnm.Print_Titles" localSheetId="19">'รหัส33061 (2)'!$5:$6</definedName>
    <definedName name="_xlnm.Print_Titles" localSheetId="20">รหัส33062!$5:$6</definedName>
    <definedName name="_xlnm.Print_Titles" localSheetId="14">รหัส39001ก่อนฯ!$5:$6</definedName>
    <definedName name="_xlnm.Print_Titles" localSheetId="15">รหัส39002ใหญ่!$4:$5</definedName>
    <definedName name="_xlnm.Print_Titles" localSheetId="21">รหัส39007!$5:$6</definedName>
    <definedName name="_xlnm.Print_Titles" localSheetId="12">สมทบกองทุนลูกจ้าง!$4:$5</definedName>
    <definedName name="_xlnm.Print_Titles" localSheetId="3">สำรองฯ!$4:$5</definedName>
    <definedName name="_xlnm.Print_Titles" localSheetId="29">อุดหนุนร.ร.!$4:$5</definedName>
  </definedNames>
  <calcPr calcId="144525"/>
</workbook>
</file>

<file path=xl/calcChain.xml><?xml version="1.0" encoding="utf-8"?>
<calcChain xmlns="http://schemas.openxmlformats.org/spreadsheetml/2006/main">
  <c r="G9" i="186" l="1"/>
  <c r="F12" i="1"/>
  <c r="G13" i="124" l="1"/>
  <c r="E17" i="181"/>
  <c r="G16" i="189"/>
  <c r="G21" i="189"/>
  <c r="G15" i="189"/>
  <c r="E39" i="181" l="1"/>
  <c r="G31" i="18" l="1"/>
  <c r="G28" i="175"/>
  <c r="G16" i="193"/>
  <c r="G17" i="193"/>
  <c r="G18" i="193"/>
  <c r="G19" i="193"/>
  <c r="E32" i="181"/>
  <c r="E21" i="181"/>
  <c r="E40" i="181"/>
  <c r="G14" i="189"/>
  <c r="G36" i="123"/>
  <c r="G25" i="123"/>
  <c r="G16" i="18"/>
  <c r="G16" i="125"/>
  <c r="E212" i="182" l="1"/>
  <c r="E213" i="182"/>
  <c r="E117" i="182"/>
  <c r="G117" i="182" s="1"/>
  <c r="E101" i="182"/>
  <c r="G101" i="182" s="1"/>
  <c r="E111" i="182"/>
  <c r="E162" i="182"/>
  <c r="E146" i="182"/>
  <c r="G146" i="182" s="1"/>
  <c r="E168" i="182"/>
  <c r="G168" i="182" s="1"/>
  <c r="E142" i="182"/>
  <c r="E170" i="182"/>
  <c r="E137" i="182"/>
  <c r="G137" i="182" s="1"/>
  <c r="E147" i="182"/>
  <c r="G147" i="182" s="1"/>
  <c r="E145" i="182"/>
  <c r="E172" i="182"/>
  <c r="G172" i="182" s="1"/>
  <c r="E169" i="182"/>
  <c r="G169" i="182" s="1"/>
  <c r="E154" i="182"/>
  <c r="G154" i="182" s="1"/>
  <c r="E171" i="182"/>
  <c r="E155" i="182"/>
  <c r="G155" i="182" s="1"/>
  <c r="E124" i="182"/>
  <c r="E166" i="182"/>
  <c r="G166" i="182" s="1"/>
  <c r="E144" i="182"/>
  <c r="E152" i="182"/>
  <c r="E143" i="182"/>
  <c r="E116" i="182"/>
  <c r="G116" i="182" s="1"/>
  <c r="E95" i="182"/>
  <c r="E91" i="182"/>
  <c r="E99" i="182"/>
  <c r="G99" i="182" s="1"/>
  <c r="E92" i="182"/>
  <c r="G92" i="182" s="1"/>
  <c r="E113" i="182"/>
  <c r="E27" i="182"/>
  <c r="G27" i="182" s="1"/>
  <c r="E102" i="182"/>
  <c r="G102" i="182" s="1"/>
  <c r="E90" i="182"/>
  <c r="G90" i="182" s="1"/>
  <c r="E87" i="182"/>
  <c r="G87" i="182"/>
  <c r="E178" i="182"/>
  <c r="G178" i="182" s="1"/>
  <c r="E148" i="182"/>
  <c r="G148" i="182" s="1"/>
  <c r="E180" i="182"/>
  <c r="E177" i="182"/>
  <c r="E82" i="182"/>
  <c r="G82" i="182" s="1"/>
  <c r="E30" i="182"/>
  <c r="G30" i="182" s="1"/>
  <c r="E54" i="182"/>
  <c r="E140" i="182"/>
  <c r="G140" i="182" s="1"/>
  <c r="E160" i="182"/>
  <c r="G160" i="182" s="1"/>
  <c r="E186" i="182"/>
  <c r="G186" i="182" s="1"/>
  <c r="E121" i="182"/>
  <c r="E107" i="182"/>
  <c r="G107" i="182" s="1"/>
  <c r="E31" i="182"/>
  <c r="G31" i="182" s="1"/>
  <c r="E123" i="182"/>
  <c r="G123" i="182" s="1"/>
  <c r="E159" i="182"/>
  <c r="G13" i="187"/>
  <c r="G8" i="127"/>
  <c r="E128" i="182"/>
  <c r="G128" i="182" s="1"/>
  <c r="E93" i="182"/>
  <c r="E114" i="182"/>
  <c r="E94" i="182"/>
  <c r="G94" i="182" s="1"/>
  <c r="E37" i="182"/>
  <c r="G37" i="182" s="1"/>
  <c r="E28" i="182"/>
  <c r="G28" i="182" s="1"/>
  <c r="E48" i="182"/>
  <c r="G48" i="182" s="1"/>
  <c r="E62" i="182"/>
  <c r="G62" i="182" s="1"/>
  <c r="E34" i="182"/>
  <c r="G34" i="182" s="1"/>
  <c r="E46" i="182"/>
  <c r="E74" i="182"/>
  <c r="G74" i="182" s="1"/>
  <c r="E84" i="182"/>
  <c r="E63" i="182"/>
  <c r="G63" i="182" s="1"/>
  <c r="E69" i="182"/>
  <c r="E81" i="182"/>
  <c r="G81" i="182" s="1"/>
  <c r="E38" i="182"/>
  <c r="G38" i="182" s="1"/>
  <c r="E45" i="182"/>
  <c r="G45" i="182" s="1"/>
  <c r="E71" i="182"/>
  <c r="E35" i="182"/>
  <c r="G35" i="182" s="1"/>
  <c r="E41" i="182"/>
  <c r="G41" i="182" s="1"/>
  <c r="E55" i="182"/>
  <c r="G55" i="182" s="1"/>
  <c r="E29" i="182"/>
  <c r="E43" i="182"/>
  <c r="E83" i="182"/>
  <c r="E68" i="182"/>
  <c r="E23" i="182"/>
  <c r="E57" i="182"/>
  <c r="G57" i="182" s="1"/>
  <c r="E60" i="182"/>
  <c r="E185" i="182"/>
  <c r="G185" i="182" s="1"/>
  <c r="E205" i="182"/>
  <c r="E207" i="182"/>
  <c r="G207" i="182" s="1"/>
  <c r="E196" i="182"/>
  <c r="G196" i="182" s="1"/>
  <c r="E201" i="182"/>
  <c r="G201" i="182" s="1"/>
  <c r="E194" i="182"/>
  <c r="E199" i="182"/>
  <c r="E183" i="182"/>
  <c r="E188" i="182"/>
  <c r="G188" i="182" s="1"/>
  <c r="E211" i="182"/>
  <c r="E208" i="182"/>
  <c r="G208" i="182" s="1"/>
  <c r="G19" i="189"/>
  <c r="G20" i="189" s="1"/>
  <c r="E88" i="182"/>
  <c r="G88" i="182" s="1"/>
  <c r="E119" i="182"/>
  <c r="E112" i="182"/>
  <c r="G112" i="182" s="1"/>
  <c r="E109" i="182"/>
  <c r="G109" i="182" s="1"/>
  <c r="E108" i="182"/>
  <c r="G108" i="182" s="1"/>
  <c r="E100" i="182"/>
  <c r="G100" i="182" s="1"/>
  <c r="E97" i="182"/>
  <c r="E103" i="182"/>
  <c r="G103" i="182" s="1"/>
  <c r="E98" i="182"/>
  <c r="E86" i="182"/>
  <c r="G86" i="182" s="1"/>
  <c r="E85" i="182"/>
  <c r="G85" i="182" s="1"/>
  <c r="E52" i="182"/>
  <c r="G52" i="182" s="1"/>
  <c r="E36" i="182"/>
  <c r="G36" i="182" s="1"/>
  <c r="E51" i="182"/>
  <c r="G51" i="182" s="1"/>
  <c r="E80" i="182"/>
  <c r="G80" i="182" s="1"/>
  <c r="E53" i="182"/>
  <c r="G53" i="182" s="1"/>
  <c r="E44" i="182"/>
  <c r="G44" i="182" s="1"/>
  <c r="E40" i="182"/>
  <c r="G40" i="182" s="1"/>
  <c r="E32" i="182"/>
  <c r="E24" i="182"/>
  <c r="G24" i="182" s="1"/>
  <c r="E79" i="182"/>
  <c r="G79" i="182" s="1"/>
  <c r="E58" i="182"/>
  <c r="E56" i="182"/>
  <c r="G56" i="182" s="1"/>
  <c r="E33" i="182"/>
  <c r="G33" i="182" s="1"/>
  <c r="E47" i="182"/>
  <c r="G47" i="182" s="1"/>
  <c r="E49" i="182"/>
  <c r="G49" i="182" s="1"/>
  <c r="E135" i="182"/>
  <c r="G135" i="182" s="1"/>
  <c r="E173" i="182"/>
  <c r="E158" i="182"/>
  <c r="G158" i="182" s="1"/>
  <c r="E131" i="182"/>
  <c r="E136" i="182"/>
  <c r="E139" i="182"/>
  <c r="G139" i="182" s="1"/>
  <c r="E151" i="182"/>
  <c r="G151" i="182" s="1"/>
  <c r="E132" i="182"/>
  <c r="G132" i="182" s="1"/>
  <c r="E141" i="182"/>
  <c r="E125" i="182"/>
  <c r="G125" i="182" s="1"/>
  <c r="E157" i="182"/>
  <c r="G157" i="182" s="1"/>
  <c r="E150" i="182"/>
  <c r="E149" i="182"/>
  <c r="G149" i="182" s="1"/>
  <c r="E126" i="182"/>
  <c r="G126" i="182" s="1"/>
  <c r="E129" i="182"/>
  <c r="G129" i="182" s="1"/>
  <c r="E133" i="182"/>
  <c r="E153" i="182"/>
  <c r="E184" i="182"/>
  <c r="G184" i="182" s="1"/>
  <c r="E210" i="182"/>
  <c r="G210" i="182" s="1"/>
  <c r="E214" i="182"/>
  <c r="G214" i="182" s="1"/>
  <c r="E181" i="182"/>
  <c r="G181" i="182" s="1"/>
  <c r="E209" i="182"/>
  <c r="G209" i="182" s="1"/>
  <c r="E202" i="182"/>
  <c r="E187" i="182"/>
  <c r="G187" i="182" s="1"/>
  <c r="E197" i="182"/>
  <c r="G197" i="182" s="1"/>
  <c r="E193" i="182"/>
  <c r="E120" i="182"/>
  <c r="G120" i="182" s="1"/>
  <c r="E110" i="182"/>
  <c r="G110" i="182"/>
  <c r="E96" i="182"/>
  <c r="G96" i="182" s="1"/>
  <c r="E78" i="182"/>
  <c r="G78" i="182" s="1"/>
  <c r="E76" i="182"/>
  <c r="G76" i="182"/>
  <c r="E61" i="182"/>
  <c r="G61" i="182" s="1"/>
  <c r="E64" i="182"/>
  <c r="G64" i="182" s="1"/>
  <c r="E59" i="182"/>
  <c r="E77" i="182"/>
  <c r="E70" i="182"/>
  <c r="G70" i="182" s="1"/>
  <c r="E67" i="182"/>
  <c r="G67" i="182" s="1"/>
  <c r="E66" i="182"/>
  <c r="G66" i="182"/>
  <c r="G159" i="182"/>
  <c r="E165" i="182"/>
  <c r="G165" i="182" s="1"/>
  <c r="E179" i="182"/>
  <c r="E176" i="182"/>
  <c r="G176" i="182" s="1"/>
  <c r="E175" i="182"/>
  <c r="G175" i="182" s="1"/>
  <c r="E174" i="182"/>
  <c r="G174" i="182" s="1"/>
  <c r="E161" i="182"/>
  <c r="G161" i="182" s="1"/>
  <c r="E134" i="182"/>
  <c r="G134" i="182" s="1"/>
  <c r="E138" i="182"/>
  <c r="E163" i="182"/>
  <c r="G163" i="182" s="1"/>
  <c r="E164" i="182"/>
  <c r="G8" i="195"/>
  <c r="F20" i="195"/>
  <c r="D20" i="195"/>
  <c r="E203" i="182"/>
  <c r="E182" i="182"/>
  <c r="E198" i="182"/>
  <c r="G198" i="182" s="1"/>
  <c r="E195" i="182"/>
  <c r="G195" i="182" s="1"/>
  <c r="E191" i="182"/>
  <c r="E190" i="182"/>
  <c r="G190" i="182" s="1"/>
  <c r="E15" i="181"/>
  <c r="G15" i="181" s="1"/>
  <c r="E42" i="181"/>
  <c r="G13" i="189"/>
  <c r="G11" i="175"/>
  <c r="G12" i="175" s="1"/>
  <c r="G12" i="189"/>
  <c r="G11" i="189"/>
  <c r="G196" i="194"/>
  <c r="G199" i="194"/>
  <c r="G69" i="194"/>
  <c r="G70" i="194"/>
  <c r="G71" i="194"/>
  <c r="G72" i="194"/>
  <c r="G73" i="194"/>
  <c r="G74" i="194"/>
  <c r="G75" i="194"/>
  <c r="G76" i="194"/>
  <c r="G77" i="194"/>
  <c r="G78" i="194"/>
  <c r="G79" i="194"/>
  <c r="G80" i="194"/>
  <c r="G81" i="194"/>
  <c r="G82" i="194"/>
  <c r="G83" i="194"/>
  <c r="G84" i="194"/>
  <c r="G85" i="194"/>
  <c r="G86" i="194"/>
  <c r="G87" i="194"/>
  <c r="G88" i="194"/>
  <c r="G89" i="194"/>
  <c r="G90" i="194"/>
  <c r="G91" i="194"/>
  <c r="G92" i="194"/>
  <c r="G93" i="194"/>
  <c r="G94" i="194"/>
  <c r="G95" i="194"/>
  <c r="G96" i="194"/>
  <c r="G97" i="194"/>
  <c r="G98" i="194"/>
  <c r="G99" i="194"/>
  <c r="G100" i="194"/>
  <c r="G101" i="194"/>
  <c r="G102" i="194"/>
  <c r="G103" i="194"/>
  <c r="G104" i="194"/>
  <c r="G105" i="194"/>
  <c r="G106" i="194"/>
  <c r="G107" i="194"/>
  <c r="G108" i="194"/>
  <c r="G109" i="194"/>
  <c r="G110" i="194"/>
  <c r="G111" i="194"/>
  <c r="G112" i="194"/>
  <c r="G113" i="194"/>
  <c r="G114" i="194"/>
  <c r="G115" i="194"/>
  <c r="G116" i="194"/>
  <c r="G117" i="194"/>
  <c r="G118" i="194"/>
  <c r="G119" i="194"/>
  <c r="G120" i="194"/>
  <c r="G121" i="194"/>
  <c r="G122" i="194"/>
  <c r="G123" i="194"/>
  <c r="G124" i="194"/>
  <c r="G125" i="194"/>
  <c r="G126" i="194"/>
  <c r="G127" i="194"/>
  <c r="G128" i="194"/>
  <c r="G129" i="194"/>
  <c r="G130" i="194"/>
  <c r="G131" i="194"/>
  <c r="G132" i="194"/>
  <c r="G133" i="194"/>
  <c r="G134" i="194"/>
  <c r="G135" i="194"/>
  <c r="G136" i="194"/>
  <c r="G137" i="194"/>
  <c r="G138" i="194"/>
  <c r="G139" i="194"/>
  <c r="G140" i="194"/>
  <c r="G141" i="194"/>
  <c r="G142" i="194"/>
  <c r="G143" i="194"/>
  <c r="G144" i="194"/>
  <c r="G145" i="194"/>
  <c r="G146" i="194"/>
  <c r="G147" i="194"/>
  <c r="G148" i="194"/>
  <c r="G149" i="194"/>
  <c r="G150" i="194"/>
  <c r="G151" i="194"/>
  <c r="G152" i="194"/>
  <c r="G153" i="194"/>
  <c r="G154" i="194"/>
  <c r="G155" i="194"/>
  <c r="G156" i="194"/>
  <c r="G157" i="194"/>
  <c r="G158" i="194"/>
  <c r="G159" i="194"/>
  <c r="G160" i="194"/>
  <c r="G161" i="194"/>
  <c r="G162" i="194"/>
  <c r="G163" i="194"/>
  <c r="G164" i="194"/>
  <c r="G165" i="194"/>
  <c r="G166" i="194"/>
  <c r="G167" i="194"/>
  <c r="G168" i="194"/>
  <c r="G169" i="194"/>
  <c r="G170" i="194"/>
  <c r="G171" i="194"/>
  <c r="G172" i="194"/>
  <c r="G173" i="194"/>
  <c r="G174" i="194"/>
  <c r="G175" i="194"/>
  <c r="G176" i="194"/>
  <c r="G177" i="194"/>
  <c r="G178" i="194"/>
  <c r="G179" i="194"/>
  <c r="G180" i="194"/>
  <c r="G181" i="194"/>
  <c r="G182" i="194"/>
  <c r="G183" i="194"/>
  <c r="G184" i="194"/>
  <c r="G185" i="194"/>
  <c r="G186" i="194"/>
  <c r="G187" i="194"/>
  <c r="G188" i="194"/>
  <c r="G189" i="194"/>
  <c r="G190" i="194"/>
  <c r="G191" i="194"/>
  <c r="G192" i="194"/>
  <c r="G193" i="194"/>
  <c r="G194" i="194"/>
  <c r="G195" i="194"/>
  <c r="G68" i="194"/>
  <c r="F201" i="194"/>
  <c r="E201" i="194"/>
  <c r="D201" i="194"/>
  <c r="G67" i="194"/>
  <c r="G66" i="194"/>
  <c r="G65" i="194"/>
  <c r="G64" i="194"/>
  <c r="G63" i="194"/>
  <c r="G62" i="194"/>
  <c r="G61" i="194"/>
  <c r="G60" i="194"/>
  <c r="G59" i="194"/>
  <c r="G58" i="194"/>
  <c r="G57" i="194"/>
  <c r="G56" i="194"/>
  <c r="G55" i="194"/>
  <c r="G54" i="194"/>
  <c r="G53" i="194"/>
  <c r="G52" i="194"/>
  <c r="G51" i="194"/>
  <c r="G50" i="194"/>
  <c r="G49" i="194"/>
  <c r="G48" i="194"/>
  <c r="G47" i="194"/>
  <c r="G46" i="194"/>
  <c r="G45" i="194"/>
  <c r="G44" i="194"/>
  <c r="G43" i="194"/>
  <c r="G42" i="194"/>
  <c r="G41" i="194"/>
  <c r="G40" i="194"/>
  <c r="G39" i="194"/>
  <c r="G38" i="194"/>
  <c r="G37" i="194"/>
  <c r="G36" i="194"/>
  <c r="G35" i="194"/>
  <c r="G34" i="194"/>
  <c r="G33" i="194"/>
  <c r="G32" i="194"/>
  <c r="G31" i="194"/>
  <c r="G30" i="194"/>
  <c r="G29" i="194"/>
  <c r="G28" i="194"/>
  <c r="G27" i="194"/>
  <c r="G26" i="194"/>
  <c r="G25" i="194"/>
  <c r="G24" i="194"/>
  <c r="G23" i="194"/>
  <c r="G22" i="194"/>
  <c r="G21" i="194"/>
  <c r="G20" i="194"/>
  <c r="G19" i="194"/>
  <c r="G18" i="194"/>
  <c r="G17" i="194"/>
  <c r="G16" i="194"/>
  <c r="G15" i="194"/>
  <c r="G14" i="194"/>
  <c r="G13" i="194"/>
  <c r="G12" i="194"/>
  <c r="G11" i="194"/>
  <c r="G10" i="194"/>
  <c r="G9" i="194"/>
  <c r="G8" i="194"/>
  <c r="G201" i="194"/>
  <c r="G32" i="184"/>
  <c r="G16" i="187"/>
  <c r="G15" i="187"/>
  <c r="G12" i="187"/>
  <c r="G10" i="179"/>
  <c r="G11" i="179" s="1"/>
  <c r="G8" i="186"/>
  <c r="G74" i="193"/>
  <c r="G8" i="193"/>
  <c r="G9" i="193"/>
  <c r="G10" i="193"/>
  <c r="G11" i="193"/>
  <c r="G12" i="193"/>
  <c r="G13" i="193"/>
  <c r="G14" i="193"/>
  <c r="G15" i="193"/>
  <c r="G20" i="193"/>
  <c r="G21" i="193"/>
  <c r="G22" i="193"/>
  <c r="G23" i="193"/>
  <c r="G24" i="193"/>
  <c r="G25" i="193"/>
  <c r="G26" i="193"/>
  <c r="G27" i="193"/>
  <c r="G28" i="193"/>
  <c r="G29" i="193"/>
  <c r="G30" i="193"/>
  <c r="G31" i="193"/>
  <c r="G32" i="193"/>
  <c r="G33" i="193"/>
  <c r="G34" i="193"/>
  <c r="G35" i="193"/>
  <c r="G36" i="193"/>
  <c r="G37" i="193"/>
  <c r="G38" i="193"/>
  <c r="G39" i="193"/>
  <c r="G40" i="193"/>
  <c r="G41" i="193"/>
  <c r="G42" i="193"/>
  <c r="G43" i="193"/>
  <c r="G44" i="193"/>
  <c r="G45" i="193"/>
  <c r="G46" i="193"/>
  <c r="G47" i="193"/>
  <c r="G48" i="193"/>
  <c r="G49" i="193"/>
  <c r="G50" i="193"/>
  <c r="G51" i="193"/>
  <c r="G52" i="193"/>
  <c r="G53" i="193"/>
  <c r="G54" i="193"/>
  <c r="G55" i="193"/>
  <c r="G56" i="193"/>
  <c r="G57" i="193"/>
  <c r="G58" i="193"/>
  <c r="G59" i="193"/>
  <c r="G60" i="193"/>
  <c r="G61" i="193"/>
  <c r="G62" i="193"/>
  <c r="G63" i="193"/>
  <c r="G64" i="193"/>
  <c r="G65" i="193"/>
  <c r="G66" i="193"/>
  <c r="G67" i="193"/>
  <c r="G68" i="193"/>
  <c r="G69" i="193"/>
  <c r="G70" i="193"/>
  <c r="G71" i="193"/>
  <c r="G72" i="193"/>
  <c r="G73" i="193"/>
  <c r="G7" i="193"/>
  <c r="D75" i="193"/>
  <c r="F75" i="193"/>
  <c r="G75" i="193" s="1"/>
  <c r="E75" i="193"/>
  <c r="G10" i="190"/>
  <c r="G11" i="190"/>
  <c r="G12" i="190"/>
  <c r="G13" i="190"/>
  <c r="G14" i="190"/>
  <c r="G15" i="190"/>
  <c r="G16" i="190"/>
  <c r="G17" i="190"/>
  <c r="G18" i="190"/>
  <c r="G19" i="190"/>
  <c r="G20" i="190"/>
  <c r="G21" i="190"/>
  <c r="G22" i="190"/>
  <c r="G23" i="190"/>
  <c r="G24" i="190"/>
  <c r="G25" i="190"/>
  <c r="G26" i="190"/>
  <c r="G27" i="190"/>
  <c r="G28" i="190"/>
  <c r="G9" i="190"/>
  <c r="E73" i="182"/>
  <c r="E156" i="182"/>
  <c r="E115" i="182"/>
  <c r="G115" i="182" s="1"/>
  <c r="E50" i="182"/>
  <c r="E72" i="182"/>
  <c r="E22" i="182"/>
  <c r="G22" i="182" s="1"/>
  <c r="E75" i="182"/>
  <c r="G75" i="182" s="1"/>
  <c r="E167" i="182"/>
  <c r="G167" i="182" s="1"/>
  <c r="E11" i="181"/>
  <c r="G11" i="181" s="1"/>
  <c r="E16" i="181"/>
  <c r="E12" i="181"/>
  <c r="G12" i="181" s="1"/>
  <c r="E25" i="181"/>
  <c r="G25" i="181" s="1"/>
  <c r="E35" i="181"/>
  <c r="E19" i="181"/>
  <c r="E36" i="181"/>
  <c r="G36" i="181" s="1"/>
  <c r="E33" i="181"/>
  <c r="G33" i="181" s="1"/>
  <c r="G14" i="179"/>
  <c r="E37" i="181"/>
  <c r="E10" i="181"/>
  <c r="E28" i="181"/>
  <c r="G28" i="181" s="1"/>
  <c r="E20" i="181"/>
  <c r="G20" i="181" s="1"/>
  <c r="E26" i="181"/>
  <c r="E14" i="181"/>
  <c r="G14" i="181" s="1"/>
  <c r="E38" i="181"/>
  <c r="E30" i="181"/>
  <c r="E9" i="181"/>
  <c r="E29" i="181"/>
  <c r="G29" i="181" s="1"/>
  <c r="E23" i="181"/>
  <c r="E31" i="181"/>
  <c r="E24" i="181"/>
  <c r="E34" i="181"/>
  <c r="G34" i="181" s="1"/>
  <c r="G91" i="185"/>
  <c r="G35" i="123"/>
  <c r="G13" i="191"/>
  <c r="G14" i="191" s="1"/>
  <c r="G86" i="185"/>
  <c r="G87" i="185" s="1"/>
  <c r="G89" i="185"/>
  <c r="G90" i="185" s="1"/>
  <c r="G84" i="185"/>
  <c r="G85" i="185" s="1"/>
  <c r="E216" i="178"/>
  <c r="G216" i="178" s="1"/>
  <c r="D156" i="178"/>
  <c r="G46" i="177"/>
  <c r="G42" i="177"/>
  <c r="G43" i="177" s="1"/>
  <c r="D36" i="152"/>
  <c r="D34" i="152"/>
  <c r="D32" i="152"/>
  <c r="B40" i="152"/>
  <c r="B30" i="152"/>
  <c r="B42" i="152" s="1"/>
  <c r="F40" i="152"/>
  <c r="F30" i="152"/>
  <c r="G14" i="175"/>
  <c r="G23" i="175"/>
  <c r="G24" i="175" s="1"/>
  <c r="G24" i="176"/>
  <c r="G25" i="176" s="1"/>
  <c r="G34" i="177"/>
  <c r="G35" i="177" s="1"/>
  <c r="G73" i="182"/>
  <c r="G111" i="182"/>
  <c r="G38" i="177"/>
  <c r="G39" i="177"/>
  <c r="G78" i="185"/>
  <c r="G79" i="185" s="1"/>
  <c r="G80" i="185" s="1"/>
  <c r="G81" i="185" s="1"/>
  <c r="G82" i="185" s="1"/>
  <c r="G14" i="186"/>
  <c r="G10" i="191"/>
  <c r="G11" i="191" s="1"/>
  <c r="G12" i="191" s="1"/>
  <c r="G9" i="191"/>
  <c r="G8" i="191"/>
  <c r="G31" i="175"/>
  <c r="G142" i="182"/>
  <c r="G171" i="182"/>
  <c r="G177" i="182"/>
  <c r="G144" i="182"/>
  <c r="G95" i="182"/>
  <c r="G84" i="182"/>
  <c r="G69" i="182"/>
  <c r="G23" i="182"/>
  <c r="G83" i="182"/>
  <c r="G194" i="182"/>
  <c r="G9" i="192"/>
  <c r="G10" i="192"/>
  <c r="G11" i="192"/>
  <c r="G12" i="192"/>
  <c r="G13" i="192"/>
  <c r="G14" i="192"/>
  <c r="G15" i="192"/>
  <c r="G16" i="192"/>
  <c r="G17" i="192"/>
  <c r="G18" i="192"/>
  <c r="G19" i="192"/>
  <c r="G8" i="192"/>
  <c r="F23" i="192"/>
  <c r="E23" i="192"/>
  <c r="D23" i="192"/>
  <c r="G23" i="192" s="1"/>
  <c r="E42" i="182"/>
  <c r="G42" i="182" s="1"/>
  <c r="G58" i="182"/>
  <c r="G54" i="182"/>
  <c r="G131" i="182"/>
  <c r="G150" i="182"/>
  <c r="G202" i="182"/>
  <c r="G193" i="182"/>
  <c r="E37" i="176"/>
  <c r="G36" i="176"/>
  <c r="E35" i="176"/>
  <c r="G34" i="176"/>
  <c r="G35" i="176"/>
  <c r="E33" i="176"/>
  <c r="G32" i="176"/>
  <c r="E31" i="176"/>
  <c r="G30" i="176"/>
  <c r="G31" i="176" s="1"/>
  <c r="E29" i="176"/>
  <c r="G28" i="176"/>
  <c r="G13" i="127"/>
  <c r="G17" i="180"/>
  <c r="F11" i="1"/>
  <c r="F10" i="1"/>
  <c r="G28" i="184"/>
  <c r="G20" i="176"/>
  <c r="G21" i="176" s="1"/>
  <c r="G18" i="176"/>
  <c r="G19" i="176" s="1"/>
  <c r="G16" i="176"/>
  <c r="G17" i="176" s="1"/>
  <c r="G62" i="181"/>
  <c r="G63" i="181" s="1"/>
  <c r="G64" i="181" s="1"/>
  <c r="F19" i="191"/>
  <c r="E19" i="191"/>
  <c r="D19" i="191"/>
  <c r="G19" i="191" s="1"/>
  <c r="G17" i="191"/>
  <c r="G6" i="191"/>
  <c r="D216" i="178"/>
  <c r="G75" i="185"/>
  <c r="G76" i="185" s="1"/>
  <c r="G15" i="175"/>
  <c r="G16" i="175" s="1"/>
  <c r="G17" i="175" s="1"/>
  <c r="G18" i="175" s="1"/>
  <c r="G19" i="175" s="1"/>
  <c r="G20" i="175" s="1"/>
  <c r="G21" i="175" s="1"/>
  <c r="G8" i="189"/>
  <c r="G7" i="184"/>
  <c r="E23" i="173"/>
  <c r="D23" i="173"/>
  <c r="C23" i="173"/>
  <c r="G11" i="173"/>
  <c r="F11" i="173"/>
  <c r="G10" i="173"/>
  <c r="F10" i="173"/>
  <c r="E23" i="1"/>
  <c r="D23" i="1"/>
  <c r="C23" i="1"/>
  <c r="G12" i="1"/>
  <c r="G11" i="1"/>
  <c r="G10" i="1"/>
  <c r="G9" i="1"/>
  <c r="F9" i="1"/>
  <c r="F23" i="1" s="1"/>
  <c r="F31" i="190"/>
  <c r="E31" i="190"/>
  <c r="D31" i="190"/>
  <c r="F26" i="189"/>
  <c r="E26" i="189"/>
  <c r="D26" i="189"/>
  <c r="D99" i="188"/>
  <c r="E97" i="188"/>
  <c r="D97" i="188"/>
  <c r="G91" i="188"/>
  <c r="G92" i="188" s="1"/>
  <c r="G93" i="188" s="1"/>
  <c r="G94" i="188" s="1"/>
  <c r="G95" i="188"/>
  <c r="G85" i="188"/>
  <c r="G86" i="188" s="1"/>
  <c r="G87" i="188" s="1"/>
  <c r="G88" i="188" s="1"/>
  <c r="G89" i="188" s="1"/>
  <c r="G79" i="188"/>
  <c r="G80" i="188"/>
  <c r="G81" i="188" s="1"/>
  <c r="G82" i="188" s="1"/>
  <c r="G83" i="188" s="1"/>
  <c r="G74" i="188"/>
  <c r="G75" i="188" s="1"/>
  <c r="G76" i="188" s="1"/>
  <c r="G77" i="188" s="1"/>
  <c r="F71" i="188"/>
  <c r="F99" i="188"/>
  <c r="E71" i="188"/>
  <c r="D71" i="188"/>
  <c r="G71" i="188"/>
  <c r="G65" i="188"/>
  <c r="G66" i="188" s="1"/>
  <c r="G67" i="188" s="1"/>
  <c r="G68" i="188" s="1"/>
  <c r="G64" i="188"/>
  <c r="G62" i="188"/>
  <c r="G56" i="188"/>
  <c r="G57" i="188" s="1"/>
  <c r="G58" i="188" s="1"/>
  <c r="G59" i="188" s="1"/>
  <c r="G60" i="188" s="1"/>
  <c r="G54" i="188"/>
  <c r="G53" i="188"/>
  <c r="G35" i="188"/>
  <c r="G36" i="188" s="1"/>
  <c r="G37" i="188"/>
  <c r="G38" i="188" s="1"/>
  <c r="G39" i="188" s="1"/>
  <c r="G40" i="188" s="1"/>
  <c r="G41" i="188" s="1"/>
  <c r="G42" i="188" s="1"/>
  <c r="G43" i="188" s="1"/>
  <c r="G44" i="188" s="1"/>
  <c r="G45" i="188" s="1"/>
  <c r="G46" i="188" s="1"/>
  <c r="G47" i="188" s="1"/>
  <c r="G48" i="188" s="1"/>
  <c r="G49" i="188" s="1"/>
  <c r="G50" i="188" s="1"/>
  <c r="G51" i="188" s="1"/>
  <c r="G33" i="188"/>
  <c r="G29" i="188"/>
  <c r="G30" i="188" s="1"/>
  <c r="G31" i="188"/>
  <c r="G28" i="188"/>
  <c r="G21" i="188"/>
  <c r="G22" i="188" s="1"/>
  <c r="G23" i="188" s="1"/>
  <c r="G24" i="188" s="1"/>
  <c r="G25" i="188" s="1"/>
  <c r="G26" i="188" s="1"/>
  <c r="G19" i="188"/>
  <c r="G16" i="188"/>
  <c r="G17" i="188"/>
  <c r="J15" i="188"/>
  <c r="G7" i="188"/>
  <c r="G8" i="188" s="1"/>
  <c r="G9" i="188"/>
  <c r="G10" i="188" s="1"/>
  <c r="G11" i="188" s="1"/>
  <c r="G12" i="188" s="1"/>
  <c r="G13" i="188" s="1"/>
  <c r="F21" i="187"/>
  <c r="E21" i="187"/>
  <c r="D21" i="187"/>
  <c r="G21" i="187" s="1"/>
  <c r="G7" i="187"/>
  <c r="G8" i="187" s="1"/>
  <c r="G9" i="187" s="1"/>
  <c r="E41" i="181"/>
  <c r="G41" i="181" s="1"/>
  <c r="F23" i="186"/>
  <c r="E23" i="186"/>
  <c r="D23" i="186"/>
  <c r="G22" i="184"/>
  <c r="G23" i="184" s="1"/>
  <c r="G24" i="184" s="1"/>
  <c r="G25" i="184" s="1"/>
  <c r="C40" i="152"/>
  <c r="E38" i="152"/>
  <c r="E36" i="152"/>
  <c r="E35" i="152"/>
  <c r="E34" i="152"/>
  <c r="E28" i="152"/>
  <c r="E27" i="152"/>
  <c r="E26" i="152"/>
  <c r="E25" i="152"/>
  <c r="E24" i="152"/>
  <c r="E23" i="152"/>
  <c r="E21" i="152"/>
  <c r="E19" i="152"/>
  <c r="E17" i="152"/>
  <c r="E15" i="152"/>
  <c r="E13" i="152"/>
  <c r="E11" i="152"/>
  <c r="E9" i="152"/>
  <c r="F93" i="185"/>
  <c r="E93" i="185"/>
  <c r="D93" i="185"/>
  <c r="G70" i="185"/>
  <c r="G71" i="185" s="1"/>
  <c r="G72" i="185" s="1"/>
  <c r="G62" i="185"/>
  <c r="G63" i="185"/>
  <c r="G64" i="185"/>
  <c r="G65" i="185" s="1"/>
  <c r="G66" i="185" s="1"/>
  <c r="G67" i="185" s="1"/>
  <c r="G68" i="185" s="1"/>
  <c r="G60" i="185"/>
  <c r="G44" i="185"/>
  <c r="G45" i="185"/>
  <c r="G46" i="185" s="1"/>
  <c r="G47" i="185"/>
  <c r="G48" i="185" s="1"/>
  <c r="G49" i="185" s="1"/>
  <c r="G50" i="185" s="1"/>
  <c r="G51" i="185" s="1"/>
  <c r="G52" i="185" s="1"/>
  <c r="G53" i="185" s="1"/>
  <c r="G54" i="185" s="1"/>
  <c r="G55" i="185" s="1"/>
  <c r="G56" i="185" s="1"/>
  <c r="G57" i="185" s="1"/>
  <c r="G38" i="185"/>
  <c r="G39" i="185" s="1"/>
  <c r="G40" i="185" s="1"/>
  <c r="G41" i="185" s="1"/>
  <c r="G20" i="185"/>
  <c r="G21" i="185" s="1"/>
  <c r="G22" i="185" s="1"/>
  <c r="G23" i="185" s="1"/>
  <c r="G24" i="185" s="1"/>
  <c r="G25" i="185" s="1"/>
  <c r="G26" i="185" s="1"/>
  <c r="G27" i="185" s="1"/>
  <c r="G28" i="185" s="1"/>
  <c r="G29" i="185" s="1"/>
  <c r="G30" i="185" s="1"/>
  <c r="G31" i="185" s="1"/>
  <c r="G32" i="185" s="1"/>
  <c r="G33" i="185" s="1"/>
  <c r="G34" i="185" s="1"/>
  <c r="G35" i="185" s="1"/>
  <c r="G9" i="185"/>
  <c r="G10" i="185"/>
  <c r="G11" i="185" s="1"/>
  <c r="G12" i="185" s="1"/>
  <c r="G13" i="185" s="1"/>
  <c r="G14" i="185" s="1"/>
  <c r="G15" i="185" s="1"/>
  <c r="G16" i="185" s="1"/>
  <c r="G17" i="185" s="1"/>
  <c r="G18" i="185" s="1"/>
  <c r="G6" i="185"/>
  <c r="G7" i="185"/>
  <c r="F38" i="184"/>
  <c r="E38" i="184"/>
  <c r="D38" i="184"/>
  <c r="G19" i="184"/>
  <c r="G14" i="184"/>
  <c r="G15" i="184" s="1"/>
  <c r="G16" i="184" s="1"/>
  <c r="G10" i="184"/>
  <c r="G11" i="184" s="1"/>
  <c r="G29" i="177"/>
  <c r="G31" i="177" s="1"/>
  <c r="G8" i="183"/>
  <c r="G25" i="182"/>
  <c r="G26" i="182"/>
  <c r="G29" i="182"/>
  <c r="G32" i="182"/>
  <c r="G39" i="182"/>
  <c r="G43" i="182"/>
  <c r="G46" i="182"/>
  <c r="G59" i="182"/>
  <c r="G60" i="182"/>
  <c r="G65" i="182"/>
  <c r="G68" i="182"/>
  <c r="G71" i="182"/>
  <c r="G72" i="182"/>
  <c r="G77" i="182"/>
  <c r="G89" i="182"/>
  <c r="G91" i="182"/>
  <c r="G93" i="182"/>
  <c r="G97" i="182"/>
  <c r="G98" i="182"/>
  <c r="G104" i="182"/>
  <c r="G105" i="182"/>
  <c r="G106" i="182"/>
  <c r="G113" i="182"/>
  <c r="G114" i="182"/>
  <c r="G118" i="182"/>
  <c r="G119" i="182"/>
  <c r="G121" i="182"/>
  <c r="G122" i="182"/>
  <c r="G124" i="182"/>
  <c r="G127" i="182"/>
  <c r="G130" i="182"/>
  <c r="G133" i="182"/>
  <c r="G136" i="182"/>
  <c r="G138" i="182"/>
  <c r="G141" i="182"/>
  <c r="G143" i="182"/>
  <c r="G145" i="182"/>
  <c r="G152" i="182"/>
  <c r="G153" i="182"/>
  <c r="G156" i="182"/>
  <c r="G162" i="182"/>
  <c r="G164" i="182"/>
  <c r="G170" i="182"/>
  <c r="G173" i="182"/>
  <c r="G179" i="182"/>
  <c r="G180" i="182"/>
  <c r="G182" i="182"/>
  <c r="G183" i="182"/>
  <c r="G189" i="182"/>
  <c r="G191" i="182"/>
  <c r="G192" i="182"/>
  <c r="G199" i="182"/>
  <c r="G200" i="182"/>
  <c r="G203" i="182"/>
  <c r="G204" i="182"/>
  <c r="G205" i="182"/>
  <c r="G206" i="182"/>
  <c r="G211" i="182"/>
  <c r="G212" i="182"/>
  <c r="G213" i="182"/>
  <c r="F21" i="183"/>
  <c r="E21" i="183"/>
  <c r="D21" i="183"/>
  <c r="G10" i="18"/>
  <c r="G11" i="18" s="1"/>
  <c r="G12" i="18" s="1"/>
  <c r="G13" i="18" s="1"/>
  <c r="G14" i="18" s="1"/>
  <c r="G15" i="18" s="1"/>
  <c r="G8" i="182"/>
  <c r="G9" i="182" s="1"/>
  <c r="G10" i="182" s="1"/>
  <c r="G11" i="182" s="1"/>
  <c r="G12" i="182" s="1"/>
  <c r="G13" i="182" s="1"/>
  <c r="G14" i="182" s="1"/>
  <c r="G15" i="182" s="1"/>
  <c r="G16" i="182" s="1"/>
  <c r="G17" i="182" s="1"/>
  <c r="G18" i="182" s="1"/>
  <c r="G19" i="182" s="1"/>
  <c r="G20" i="182" s="1"/>
  <c r="D217" i="182"/>
  <c r="F217" i="182"/>
  <c r="G6" i="182"/>
  <c r="G66" i="181"/>
  <c r="G67" i="181" s="1"/>
  <c r="G68" i="181" s="1"/>
  <c r="G69" i="181" s="1"/>
  <c r="G70" i="181" s="1"/>
  <c r="G59" i="181"/>
  <c r="G60" i="181" s="1"/>
  <c r="G61" i="181" s="1"/>
  <c r="G46" i="181"/>
  <c r="G47" i="181" s="1"/>
  <c r="G48" i="181" s="1"/>
  <c r="G49" i="181" s="1"/>
  <c r="G50" i="181" s="1"/>
  <c r="G51" i="181" s="1"/>
  <c r="G52" i="181" s="1"/>
  <c r="G53" i="181" s="1"/>
  <c r="G54" i="181" s="1"/>
  <c r="G55" i="181" s="1"/>
  <c r="G56" i="181" s="1"/>
  <c r="G57" i="181" s="1"/>
  <c r="G42" i="181"/>
  <c r="G40" i="181"/>
  <c r="G39" i="181"/>
  <c r="G38" i="181"/>
  <c r="D73" i="181"/>
  <c r="G21" i="181"/>
  <c r="G22" i="181"/>
  <c r="G23" i="181"/>
  <c r="G24" i="181"/>
  <c r="G26" i="181"/>
  <c r="G27" i="181"/>
  <c r="G30" i="181"/>
  <c r="G31" i="181"/>
  <c r="G32" i="181"/>
  <c r="G43" i="181"/>
  <c r="G13" i="181"/>
  <c r="G10" i="181"/>
  <c r="G16" i="181"/>
  <c r="G17" i="181"/>
  <c r="G18" i="181"/>
  <c r="G19" i="181"/>
  <c r="G9" i="181"/>
  <c r="F73" i="181"/>
  <c r="G7" i="181"/>
  <c r="G11" i="180"/>
  <c r="G12" i="180" s="1"/>
  <c r="G13" i="180" s="1"/>
  <c r="G29" i="123"/>
  <c r="G30" i="123" s="1"/>
  <c r="G31" i="123" s="1"/>
  <c r="G32" i="123" s="1"/>
  <c r="G33" i="123" s="1"/>
  <c r="G34" i="123" s="1"/>
  <c r="G28" i="123"/>
  <c r="G7" i="176"/>
  <c r="G8" i="176" s="1"/>
  <c r="G9" i="176"/>
  <c r="G10" i="176" s="1"/>
  <c r="G11" i="176"/>
  <c r="G12" i="176" s="1"/>
  <c r="G13" i="176" s="1"/>
  <c r="D40" i="176"/>
  <c r="F40" i="176"/>
  <c r="G7" i="180"/>
  <c r="G8" i="180" s="1"/>
  <c r="D21" i="180"/>
  <c r="E21" i="180"/>
  <c r="G21" i="180"/>
  <c r="F21" i="180"/>
  <c r="G7" i="179"/>
  <c r="G8" i="179" s="1"/>
  <c r="D23" i="179"/>
  <c r="G23" i="179" s="1"/>
  <c r="E23" i="179"/>
  <c r="F23" i="179"/>
  <c r="G6" i="175"/>
  <c r="D37" i="175"/>
  <c r="E37" i="175"/>
  <c r="G37" i="175" s="1"/>
  <c r="F37" i="175"/>
  <c r="D23" i="127"/>
  <c r="E23" i="127"/>
  <c r="F23" i="127"/>
  <c r="G23" i="127" s="1"/>
  <c r="G7" i="18"/>
  <c r="G8" i="18"/>
  <c r="G9" i="18" s="1"/>
  <c r="G20" i="18"/>
  <c r="G21" i="18"/>
  <c r="G22" i="18" s="1"/>
  <c r="G23" i="18" s="1"/>
  <c r="G24" i="18" s="1"/>
  <c r="G25" i="18" s="1"/>
  <c r="G26" i="18" s="1"/>
  <c r="G27" i="18" s="1"/>
  <c r="G28" i="18" s="1"/>
  <c r="G29" i="18" s="1"/>
  <c r="G30" i="18" s="1"/>
  <c r="D33" i="18"/>
  <c r="E33" i="18"/>
  <c r="G33" i="18" s="1"/>
  <c r="F33" i="18"/>
  <c r="G39" i="18"/>
  <c r="L47" i="18"/>
  <c r="G6" i="124"/>
  <c r="G7" i="124" s="1"/>
  <c r="G8" i="124" s="1"/>
  <c r="G9" i="124" s="1"/>
  <c r="G10" i="124" s="1"/>
  <c r="G11" i="124" s="1"/>
  <c r="G12" i="124" s="1"/>
  <c r="G17" i="124"/>
  <c r="D19" i="124"/>
  <c r="E19" i="124"/>
  <c r="F19" i="124"/>
  <c r="G6" i="125"/>
  <c r="G7" i="125"/>
  <c r="G8" i="125" s="1"/>
  <c r="G9" i="125" s="1"/>
  <c r="G10" i="125" s="1"/>
  <c r="G11" i="125" s="1"/>
  <c r="G12" i="125" s="1"/>
  <c r="G13" i="125" s="1"/>
  <c r="G14" i="125" s="1"/>
  <c r="G15" i="125" s="1"/>
  <c r="D20" i="125"/>
  <c r="G20" i="125" s="1"/>
  <c r="E20" i="125"/>
  <c r="F20" i="125"/>
  <c r="G7" i="123"/>
  <c r="G8" i="123" s="1"/>
  <c r="G9" i="123" s="1"/>
  <c r="G10" i="123" s="1"/>
  <c r="G11" i="123" s="1"/>
  <c r="G12" i="123" s="1"/>
  <c r="G13" i="123" s="1"/>
  <c r="G14" i="123" s="1"/>
  <c r="G16" i="123"/>
  <c r="G17" i="123"/>
  <c r="G18" i="123" s="1"/>
  <c r="G19" i="123" s="1"/>
  <c r="G20" i="123" s="1"/>
  <c r="G21" i="123" s="1"/>
  <c r="G22" i="123" s="1"/>
  <c r="G23" i="123" s="1"/>
  <c r="G24" i="123" s="1"/>
  <c r="D38" i="123"/>
  <c r="E38" i="123"/>
  <c r="F38" i="123"/>
  <c r="G8" i="114"/>
  <c r="G9" i="114" s="1"/>
  <c r="G10" i="114" s="1"/>
  <c r="G11" i="114" s="1"/>
  <c r="G12" i="114" s="1"/>
  <c r="G13" i="114" s="1"/>
  <c r="G14" i="114" s="1"/>
  <c r="G15" i="114" s="1"/>
  <c r="G16" i="114" s="1"/>
  <c r="G19" i="114"/>
  <c r="G20" i="114" s="1"/>
  <c r="G21" i="114" s="1"/>
  <c r="G22" i="114" s="1"/>
  <c r="G23" i="114" s="1"/>
  <c r="G24" i="114" s="1"/>
  <c r="G25" i="114" s="1"/>
  <c r="G26" i="114" s="1"/>
  <c r="G27" i="114" s="1"/>
  <c r="G29" i="114"/>
  <c r="G30" i="114" s="1"/>
  <c r="G31" i="114"/>
  <c r="G32" i="114" s="1"/>
  <c r="G33" i="114" s="1"/>
  <c r="G34" i="114" s="1"/>
  <c r="G35" i="114" s="1"/>
  <c r="G36" i="114" s="1"/>
  <c r="G37" i="114" s="1"/>
  <c r="G38" i="114" s="1"/>
  <c r="G39" i="114" s="1"/>
  <c r="G40" i="114" s="1"/>
  <c r="G41" i="114" s="1"/>
  <c r="G42" i="114" s="1"/>
  <c r="G43" i="114" s="1"/>
  <c r="G44" i="114" s="1"/>
  <c r="G45" i="114" s="1"/>
  <c r="G46" i="114" s="1"/>
  <c r="G48" i="114"/>
  <c r="G49" i="114" s="1"/>
  <c r="G50" i="114" s="1"/>
  <c r="G51" i="114" s="1"/>
  <c r="G52" i="114" s="1"/>
  <c r="G53" i="114" s="1"/>
  <c r="G54" i="114" s="1"/>
  <c r="G55" i="114" s="1"/>
  <c r="G56" i="114" s="1"/>
  <c r="G57" i="114" s="1"/>
  <c r="G58" i="114" s="1"/>
  <c r="G60" i="114"/>
  <c r="G61" i="114"/>
  <c r="G62" i="114" s="1"/>
  <c r="G63" i="114" s="1"/>
  <c r="G64" i="114" s="1"/>
  <c r="G65" i="114" s="1"/>
  <c r="G66" i="114" s="1"/>
  <c r="G67" i="114" s="1"/>
  <c r="D70" i="114"/>
  <c r="E70" i="114"/>
  <c r="F70" i="114"/>
  <c r="G6" i="110"/>
  <c r="G7" i="110" s="1"/>
  <c r="G8" i="110" s="1"/>
  <c r="G9" i="110" s="1"/>
  <c r="D27" i="110"/>
  <c r="E27" i="110"/>
  <c r="F27" i="110"/>
  <c r="G7" i="177"/>
  <c r="G9" i="177" s="1"/>
  <c r="G10" i="177" s="1"/>
  <c r="G11" i="177" s="1"/>
  <c r="G13" i="177"/>
  <c r="G14" i="177"/>
  <c r="G15" i="177" s="1"/>
  <c r="G17" i="177"/>
  <c r="G18" i="177"/>
  <c r="G19" i="177" s="1"/>
  <c r="G20" i="177" s="1"/>
  <c r="G21" i="177" s="1"/>
  <c r="G22" i="177" s="1"/>
  <c r="G23" i="177" s="1"/>
  <c r="G24" i="177" s="1"/>
  <c r="G25" i="177" s="1"/>
  <c r="G26" i="177" s="1"/>
  <c r="G27" i="177" s="1"/>
  <c r="G36" i="177"/>
  <c r="D48" i="177"/>
  <c r="E48" i="177"/>
  <c r="G48" i="177"/>
  <c r="F48" i="177"/>
  <c r="G7" i="178"/>
  <c r="G8" i="178" s="1"/>
  <c r="G9" i="178"/>
  <c r="G10" i="178" s="1"/>
  <c r="G11" i="178" s="1"/>
  <c r="G12" i="178" s="1"/>
  <c r="G13" i="178" s="1"/>
  <c r="G14" i="178" s="1"/>
  <c r="G15" i="178" s="1"/>
  <c r="G16" i="178" s="1"/>
  <c r="G17" i="178" s="1"/>
  <c r="G18" i="178" s="1"/>
  <c r="G19" i="178" s="1"/>
  <c r="G20" i="178" s="1"/>
  <c r="G21" i="178" s="1"/>
  <c r="G22" i="178" s="1"/>
  <c r="G24" i="178"/>
  <c r="G25" i="178" s="1"/>
  <c r="G26" i="178" s="1"/>
  <c r="G27" i="178" s="1"/>
  <c r="G28" i="178" s="1"/>
  <c r="G29" i="178" s="1"/>
  <c r="G30" i="178" s="1"/>
  <c r="G31" i="178" s="1"/>
  <c r="G32" i="178" s="1"/>
  <c r="G33" i="178" s="1"/>
  <c r="G34" i="178" s="1"/>
  <c r="G35" i="178" s="1"/>
  <c r="G36" i="178" s="1"/>
  <c r="G37" i="178" s="1"/>
  <c r="G38" i="178" s="1"/>
  <c r="G40" i="178"/>
  <c r="G41" i="178" s="1"/>
  <c r="G42" i="178" s="1"/>
  <c r="G44" i="178"/>
  <c r="G45" i="178" s="1"/>
  <c r="G46" i="178" s="1"/>
  <c r="G47" i="178" s="1"/>
  <c r="G48" i="178" s="1"/>
  <c r="G49" i="178" s="1"/>
  <c r="G50" i="178" s="1"/>
  <c r="G51" i="178" s="1"/>
  <c r="G52" i="178" s="1"/>
  <c r="G53" i="178" s="1"/>
  <c r="G54" i="178" s="1"/>
  <c r="G55" i="178" s="1"/>
  <c r="G56" i="178" s="1"/>
  <c r="G57" i="178" s="1"/>
  <c r="G60" i="178"/>
  <c r="G61" i="178" s="1"/>
  <c r="G62" i="178" s="1"/>
  <c r="G63" i="178" s="1"/>
  <c r="G64" i="178" s="1"/>
  <c r="G65" i="178" s="1"/>
  <c r="G66" i="178" s="1"/>
  <c r="G67" i="178" s="1"/>
  <c r="G68" i="178" s="1"/>
  <c r="G69" i="178" s="1"/>
  <c r="G70" i="178" s="1"/>
  <c r="G71" i="178" s="1"/>
  <c r="G72" i="178" s="1"/>
  <c r="G73" i="178" s="1"/>
  <c r="G74" i="178" s="1"/>
  <c r="G75" i="178" s="1"/>
  <c r="G76" i="178" s="1"/>
  <c r="G77" i="178" s="1"/>
  <c r="G79" i="178"/>
  <c r="G80" i="178" s="1"/>
  <c r="G81" i="178" s="1"/>
  <c r="G82" i="178"/>
  <c r="G83" i="178" s="1"/>
  <c r="G84" i="178" s="1"/>
  <c r="G85" i="178" s="1"/>
  <c r="G86" i="178" s="1"/>
  <c r="G87" i="178" s="1"/>
  <c r="G88" i="178" s="1"/>
  <c r="G89" i="178" s="1"/>
  <c r="G90" i="178" s="1"/>
  <c r="G91" i="178" s="1"/>
  <c r="G92" i="178" s="1"/>
  <c r="G93" i="178" s="1"/>
  <c r="G94" i="178" s="1"/>
  <c r="G124" i="178"/>
  <c r="G125" i="178" s="1"/>
  <c r="G126" i="178" s="1"/>
  <c r="G127" i="178" s="1"/>
  <c r="G129" i="178"/>
  <c r="G130" i="178"/>
  <c r="G131" i="178" s="1"/>
  <c r="G132" i="178" s="1"/>
  <c r="G133" i="178" s="1"/>
  <c r="G134" i="178" s="1"/>
  <c r="G135" i="178" s="1"/>
  <c r="G136" i="178" s="1"/>
  <c r="G137" i="178" s="1"/>
  <c r="G138" i="178" s="1"/>
  <c r="G140" i="178"/>
  <c r="G141" i="178" s="1"/>
  <c r="G143" i="178"/>
  <c r="G144" i="178" s="1"/>
  <c r="G145" i="178" s="1"/>
  <c r="G146" i="178" s="1"/>
  <c r="G147" i="178" s="1"/>
  <c r="G148" i="178" s="1"/>
  <c r="G149" i="178" s="1"/>
  <c r="G150" i="178" s="1"/>
  <c r="G151" i="178" s="1"/>
  <c r="G152" i="178" s="1"/>
  <c r="G153" i="178" s="1"/>
  <c r="E156" i="178"/>
  <c r="F156" i="178"/>
  <c r="F217" i="178"/>
  <c r="G159" i="178"/>
  <c r="G160" i="178" s="1"/>
  <c r="G161" i="178" s="1"/>
  <c r="G162" i="178" s="1"/>
  <c r="G163" i="178" s="1"/>
  <c r="G164" i="178" s="1"/>
  <c r="G165" i="178" s="1"/>
  <c r="G166" i="178" s="1"/>
  <c r="G167" i="178" s="1"/>
  <c r="G168" i="178" s="1"/>
  <c r="G169" i="178" s="1"/>
  <c r="G170" i="178" s="1"/>
  <c r="G172" i="178"/>
  <c r="G173" i="178" s="1"/>
  <c r="G174" i="178" s="1"/>
  <c r="G175" i="178" s="1"/>
  <c r="G176" i="178" s="1"/>
  <c r="G177" i="178" s="1"/>
  <c r="G178" i="178" s="1"/>
  <c r="G179" i="178" s="1"/>
  <c r="G180" i="178" s="1"/>
  <c r="G181" i="178" s="1"/>
  <c r="G182" i="178" s="1"/>
  <c r="G183" i="178" s="1"/>
  <c r="G184" i="178" s="1"/>
  <c r="G185" i="178" s="1"/>
  <c r="G186" i="178" s="1"/>
  <c r="G189" i="178"/>
  <c r="G190" i="178" s="1"/>
  <c r="G191" i="178" s="1"/>
  <c r="G192" i="178" s="1"/>
  <c r="G193" i="178" s="1"/>
  <c r="G194" i="178" s="1"/>
  <c r="G195" i="178" s="1"/>
  <c r="G196" i="178" s="1"/>
  <c r="G197" i="178" s="1"/>
  <c r="G198" i="178" s="1"/>
  <c r="G199" i="178" s="1"/>
  <c r="G200" i="178" s="1"/>
  <c r="G201" i="178" s="1"/>
  <c r="G203" i="178"/>
  <c r="G204" i="178" s="1"/>
  <c r="G205" i="178" s="1"/>
  <c r="G206" i="178" s="1"/>
  <c r="G207" i="178" s="1"/>
  <c r="G208" i="178" s="1"/>
  <c r="G209" i="178" s="1"/>
  <c r="G210" i="178" s="1"/>
  <c r="G211" i="178" s="1"/>
  <c r="G212" i="178" s="1"/>
  <c r="G213" i="178" s="1"/>
  <c r="G21" i="183"/>
  <c r="D40" i="152"/>
  <c r="E40" i="152" s="1"/>
  <c r="E32" i="152"/>
  <c r="C30" i="152"/>
  <c r="C42" i="152" s="1"/>
  <c r="D30" i="152"/>
  <c r="E7" i="152"/>
  <c r="G37" i="181"/>
  <c r="G35" i="181"/>
  <c r="G50" i="182"/>
  <c r="E73" i="181"/>
  <c r="G73" i="181" s="1"/>
  <c r="G26" i="189"/>
  <c r="E20" i="195"/>
  <c r="G20" i="195" s="1"/>
  <c r="E30" i="152" l="1"/>
  <c r="D42" i="152"/>
  <c r="E42" i="152" s="1"/>
  <c r="F23" i="173"/>
  <c r="G10" i="110"/>
  <c r="G11" i="110" s="1"/>
  <c r="G12" i="110" s="1"/>
  <c r="G13" i="110" s="1"/>
  <c r="G14" i="110" s="1"/>
  <c r="G15" i="110" s="1"/>
  <c r="G16" i="110" s="1"/>
  <c r="G27" i="110"/>
  <c r="G156" i="178"/>
  <c r="D217" i="178"/>
  <c r="G23" i="1"/>
  <c r="G29" i="176"/>
  <c r="G33" i="176"/>
  <c r="E40" i="176"/>
  <c r="G40" i="176" s="1"/>
  <c r="G31" i="190"/>
  <c r="E217" i="178"/>
  <c r="G93" i="185"/>
  <c r="G95" i="178"/>
  <c r="G96" i="178" s="1"/>
  <c r="G97" i="178" s="1"/>
  <c r="G98" i="178" s="1"/>
  <c r="G99" i="178" s="1"/>
  <c r="G100" i="178" s="1"/>
  <c r="G101" i="178" s="1"/>
  <c r="G102" i="178" s="1"/>
  <c r="G103" i="178" s="1"/>
  <c r="G104" i="178" s="1"/>
  <c r="G105" i="178" s="1"/>
  <c r="G106" i="178" s="1"/>
  <c r="G38" i="123"/>
  <c r="G70" i="114"/>
  <c r="G38" i="184"/>
  <c r="E217" i="182"/>
  <c r="G217" i="182" s="1"/>
  <c r="G19" i="124"/>
  <c r="E99" i="188"/>
  <c r="G99" i="188" s="1"/>
  <c r="G97" i="188"/>
  <c r="G23" i="186"/>
  <c r="G37" i="176"/>
  <c r="F42" i="152"/>
  <c r="G23" i="173"/>
  <c r="G217" i="178" l="1"/>
  <c r="G107" i="178"/>
  <c r="G108" i="178" s="1"/>
  <c r="G109" i="178" s="1"/>
  <c r="G110" i="178" s="1"/>
  <c r="G111" i="178" s="1"/>
  <c r="G112" i="178" s="1"/>
  <c r="G113" i="178" s="1"/>
  <c r="G114" i="178" s="1"/>
  <c r="G115" i="178" s="1"/>
  <c r="G116" i="178" s="1"/>
  <c r="G117" i="178" s="1"/>
  <c r="G118" i="178" s="1"/>
  <c r="G119" i="178" s="1"/>
  <c r="G120" i="178" s="1"/>
  <c r="G121" i="178" s="1"/>
  <c r="G122" i="178" s="1"/>
</calcChain>
</file>

<file path=xl/sharedStrings.xml><?xml version="1.0" encoding="utf-8"?>
<sst xmlns="http://schemas.openxmlformats.org/spreadsheetml/2006/main" count="3569" uniqueCount="1569">
  <si>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</si>
  <si>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</si>
  <si>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</si>
  <si>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</si>
  <si>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</si>
  <si>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</si>
  <si>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</si>
  <si>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</si>
  <si>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</si>
  <si>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</si>
  <si>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</si>
  <si>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</si>
  <si>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</si>
  <si>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</si>
  <si>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</si>
  <si>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</si>
  <si>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</si>
  <si>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</si>
  <si>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ศน.ปัณณธร</t>
  </si>
  <si>
    <t>สุระศักดิ์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</si>
  <si>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</si>
  <si>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</si>
  <si>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</si>
  <si>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ศน.พัชรินทร์</t>
  </si>
  <si>
    <t>เงินอนุมัติ</t>
  </si>
  <si>
    <t>ก่อหนี้ผูกพัน</t>
  </si>
  <si>
    <t>( PO )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</si>
  <si>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</si>
  <si>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</si>
  <si>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</si>
  <si>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</si>
  <si>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PO</t>
  </si>
  <si>
    <t>ในมือ</t>
  </si>
  <si>
    <t>Po</t>
  </si>
  <si>
    <t>PO/</t>
  </si>
  <si>
    <t>ประชา</t>
  </si>
  <si>
    <t>ชุมชนบ้านโคกสะอาด</t>
  </si>
  <si>
    <t>รวมเงิน</t>
  </si>
  <si>
    <t>เบิกจ่าย</t>
  </si>
  <si>
    <t>รร.อนุบาลศรีเทพ</t>
  </si>
  <si>
    <t>รร.บ้านซับไม้แดง</t>
  </si>
  <si>
    <t>รร.บ้านรวมทรัพย์</t>
  </si>
  <si>
    <t>รร.บ้านบึงสามพัน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</si>
  <si>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</si>
  <si>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</si>
  <si>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</si>
  <si>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</si>
  <si>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</si>
  <si>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</si>
  <si>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</si>
  <si>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</si>
  <si>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</si>
  <si>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</si>
  <si>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</si>
  <si>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</si>
  <si>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</si>
  <si>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</si>
  <si>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</si>
  <si>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</si>
  <si>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</si>
  <si>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</si>
  <si>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บ้านโคกรังน้อย</t>
  </si>
  <si>
    <t>บ้านปากตก</t>
  </si>
  <si>
    <t>ชุมชนบ้านวังพิกุล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</si>
  <si>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</si>
  <si>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</si>
  <si>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</si>
  <si>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</si>
  <si>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</si>
  <si>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</si>
  <si>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</si>
  <si>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</si>
  <si>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</si>
  <si>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</si>
  <si>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</si>
  <si>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</si>
  <si>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</si>
  <si>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</si>
  <si>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</si>
  <si>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</si>
  <si>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</si>
  <si>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</si>
  <si>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</si>
  <si>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</si>
  <si>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</si>
  <si>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</si>
  <si>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</si>
  <si>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</si>
  <si>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</si>
  <si>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บ้านสระกรวด</t>
  </si>
  <si>
    <t>บ้านทุ่งใหญ่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</si>
  <si>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</si>
  <si>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</si>
  <si>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</si>
  <si>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</si>
  <si>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</si>
  <si>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</si>
  <si>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</si>
  <si>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</si>
  <si>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</si>
  <si>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</si>
  <si>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>รร.บ้านท่าด้วง</t>
  </si>
  <si>
    <t xml:space="preserve"> รวมทั้งสิ้น</t>
  </si>
  <si>
    <t>รร.อนุบาลบึงสามพัน</t>
  </si>
  <si>
    <t>.</t>
  </si>
  <si>
    <t>งบบุคลากร  (พนักงานราชการ)</t>
  </si>
  <si>
    <t>ในมือ/</t>
  </si>
  <si>
    <t>รร.บ้านสระประดู่</t>
  </si>
  <si>
    <t>รร.ชุมชนบ้านวังพิกุล</t>
  </si>
  <si>
    <t>รร.บ้านหนองบัว</t>
  </si>
  <si>
    <t xml:space="preserve">                                           สำนักงานเขตพื้นที่การศึกษาเพชรบูรณ์ เขต 3</t>
  </si>
  <si>
    <t>งบประจำ</t>
  </si>
  <si>
    <t>รายการงบประจำ</t>
  </si>
  <si>
    <t xml:space="preserve"> 1.ค่าซ่อมแซมครุภัณฑ์</t>
  </si>
  <si>
    <t>สมหมาย</t>
  </si>
  <si>
    <t>12.2 ค่าไฟฟ้า</t>
  </si>
  <si>
    <t>12.3 ค่าไปรษณีย์</t>
  </si>
  <si>
    <t>ค่าตอบแทนพนักงานราชการ</t>
  </si>
  <si>
    <t>ค่าตอบแทนพนง.  ครั้งที่ 1</t>
  </si>
  <si>
    <t>12.4 ค่าโทรศัพท์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</si>
  <si>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</si>
  <si>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</si>
  <si>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</si>
  <si>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12. ค่าสาธารณูปโภค</t>
  </si>
  <si>
    <t xml:space="preserve">   7.ค่าเบี้ยเลี้ยง+พาหนะ</t>
  </si>
  <si>
    <t>ค่าจ้างฯ</t>
  </si>
  <si>
    <t>ค่าตอบแทนฯ</t>
  </si>
  <si>
    <t>12.1 ค่าประปา</t>
  </si>
  <si>
    <t xml:space="preserve"> ประกันสังคม พนง.ราชการ ค.1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</si>
  <si>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</si>
  <si>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</si>
  <si>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</si>
  <si>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 xml:space="preserve">                                       ยอดรวม   </t>
  </si>
  <si>
    <t>ชุมชนพุเตย</t>
  </si>
  <si>
    <t>( PO/ ค้างในมือ)</t>
  </si>
  <si>
    <t xml:space="preserve">                      ยอดรวม</t>
  </si>
  <si>
    <t>สรุปรายการเงินงบกลยุทธ์โครงการ</t>
  </si>
  <si>
    <t>งบกลยุทธ์โครงการ</t>
  </si>
  <si>
    <t>ค่าจ้าง เขต 9 ราย  ครั้งที่ 1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</si>
  <si>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</si>
  <si>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</si>
  <si>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</si>
  <si>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</si>
  <si>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39001</t>
  </si>
  <si>
    <t>N3102</t>
  </si>
  <si>
    <t>รหัส 38008</t>
  </si>
  <si>
    <t>ก.ก.</t>
  </si>
  <si>
    <t>N3101</t>
  </si>
  <si>
    <t>25 ตค.61</t>
  </si>
  <si>
    <t>ว. 3732</t>
  </si>
  <si>
    <t>ว.4957</t>
  </si>
  <si>
    <t>จันทร์ทิพย์</t>
  </si>
  <si>
    <t>ว.4938</t>
  </si>
  <si>
    <t>ค่าจ้างครูพี่เลี้ยงเด็กพิการ ค.1</t>
  </si>
  <si>
    <t>รหัส 39004</t>
  </si>
  <si>
    <t xml:space="preserve">            ด.ด.</t>
  </si>
  <si>
    <t>N 3101</t>
  </si>
  <si>
    <t>ทิพหทัย</t>
  </si>
  <si>
    <t>รร.บ้านซับน้อย</t>
  </si>
  <si>
    <t>รร.บ้านสระเกษ</t>
  </si>
  <si>
    <t>รร.บ้านวังลึก</t>
  </si>
  <si>
    <t>เบิกค่าวัสดุ</t>
  </si>
  <si>
    <t xml:space="preserve"> 2.ค่าวัสดุสำนักงาน</t>
  </si>
  <si>
    <t xml:space="preserve"> 3.ค่าซ่อมแอร์</t>
  </si>
  <si>
    <t xml:space="preserve"> 4.ค่าน้ำมันเชื้อเพลิง</t>
  </si>
  <si>
    <t xml:space="preserve"> 5.ค่าซ่อมรถฯ</t>
  </si>
  <si>
    <t xml:space="preserve"> 6.ค่าเบี้ยประชุมกรรมการ กตปน.</t>
  </si>
  <si>
    <t>รายงการบริหารงบประมาณประจำปีงบประมาณ 2562</t>
  </si>
  <si>
    <t>เบิกเงิน</t>
  </si>
  <si>
    <t>30 ตค.61</t>
  </si>
  <si>
    <t>ว.5019</t>
  </si>
  <si>
    <t>31 ตค.61</t>
  </si>
  <si>
    <t xml:space="preserve"> ว 5068</t>
  </si>
  <si>
    <t>รหัส 33061</t>
  </si>
  <si>
    <t>ว. 5095</t>
  </si>
  <si>
    <t>ค่าตอบแทนครูผู้ทรงคุณค่าฯ  ค.1</t>
  </si>
  <si>
    <t>ว.5065</t>
  </si>
  <si>
    <t>13 พย.61</t>
  </si>
  <si>
    <t>ว.5213</t>
  </si>
  <si>
    <t>14 พย.61</t>
  </si>
  <si>
    <t>ว 5210</t>
  </si>
  <si>
    <t xml:space="preserve">  (จ้างธุรการ เดือนละ 15,000.-)</t>
  </si>
  <si>
    <t>ค่าจ้างธุรการ   ครั้งที่ 1</t>
  </si>
  <si>
    <t>ค่าจ้างธุรการ   ครั้งที่ 2</t>
  </si>
  <si>
    <t>ว.5209</t>
  </si>
  <si>
    <t>ค่าจ้างธุรการ  เดือนละ 9,000.-</t>
  </si>
  <si>
    <t>ค่าจ้างครูขั้นวิกฤต   ครั้งที่ 1</t>
  </si>
  <si>
    <t>12 พย.61</t>
  </si>
  <si>
    <t>ว 5151</t>
  </si>
  <si>
    <t xml:space="preserve">  ร.32031</t>
  </si>
  <si>
    <t>รายงานผลการบริหารงบประมาณประจำปีงบประมาณ 2562</t>
  </si>
  <si>
    <t>12 พย 61</t>
  </si>
  <si>
    <t>ว.5184</t>
  </si>
  <si>
    <t>คชจ.เดินทางประชุมการจัดทำแผนการทดสอบฯ</t>
  </si>
  <si>
    <t>7 พย.61</t>
  </si>
  <si>
    <t>ว 5123</t>
  </si>
  <si>
    <t>เงินอุดหนุนภาคเรียน 2/61 (70%)</t>
  </si>
  <si>
    <t>กิจกรรมพัฒนาคุณภาพผู้เรียน</t>
  </si>
  <si>
    <t>ค่าจัดการเรียนการสอน</t>
  </si>
  <si>
    <t xml:space="preserve">  ร.33061</t>
  </si>
  <si>
    <t>ว.5216</t>
  </si>
  <si>
    <t>ค่าซ่อมบำรุงอุปกรณ์ DLTV</t>
  </si>
  <si>
    <t>22 พย.61</t>
  </si>
  <si>
    <t>ว 5383</t>
  </si>
  <si>
    <t>ไอ.13</t>
  </si>
  <si>
    <t>เบิกของ เดือน ตค.61</t>
  </si>
  <si>
    <t>ฎ.38</t>
  </si>
  <si>
    <t>เบิกของเดือน ตค.61</t>
  </si>
  <si>
    <t>ฎ.36</t>
  </si>
  <si>
    <t>เงินยืม สมหมาย</t>
  </si>
  <si>
    <t>8 พย.61</t>
  </si>
  <si>
    <t>พี.30</t>
  </si>
  <si>
    <t>เบิกค่าพวงมาลาวันปิยะฯ</t>
  </si>
  <si>
    <t>ฎ.46</t>
  </si>
  <si>
    <t>ค่าเดินทาง รองหมาย+อภิรดี</t>
  </si>
  <si>
    <t>ฎ.50</t>
  </si>
  <si>
    <t>ฎ.49</t>
  </si>
  <si>
    <t>ฎ.48</t>
  </si>
  <si>
    <t>ค่าเดินทาง อกก ร.ร.วันเปิดเทอม</t>
  </si>
  <si>
    <t>ฎ.55</t>
  </si>
  <si>
    <t>เบิกซ่อมปริ้นเตอร์</t>
  </si>
  <si>
    <t>เงินยืม สุกันยา</t>
  </si>
  <si>
    <t>ไอ.20</t>
  </si>
  <si>
    <t>ซ่อมรถ นข.1317</t>
  </si>
  <si>
    <t>ไอ.21</t>
  </si>
  <si>
    <t>ซ่อมรถ นข.2394</t>
  </si>
  <si>
    <t>ฎ.41</t>
  </si>
  <si>
    <t>เบิกเดือน ตค.61</t>
  </si>
  <si>
    <t>ฎ.47</t>
  </si>
  <si>
    <t>ฎ.67</t>
  </si>
  <si>
    <t>16 พย.61</t>
  </si>
  <si>
    <t>เงินยืมศิลปะฯ  ศน.กัญจนา</t>
  </si>
  <si>
    <t>ฎ.56</t>
  </si>
  <si>
    <t>ฎ.73</t>
  </si>
  <si>
    <t>ค่าเดินทาง ธีรพงศ์</t>
  </si>
  <si>
    <t>20 พย.61</t>
  </si>
  <si>
    <t>เบิกของ ตค.- พย.61</t>
  </si>
  <si>
    <t>ฎ.74</t>
  </si>
  <si>
    <t>ฎ.75</t>
  </si>
  <si>
    <t>ค่าเดินทาง สุกันยา</t>
  </si>
  <si>
    <t>ไอ.23</t>
  </si>
  <si>
    <t>ค่าเช่าเน็ต ตค.61</t>
  </si>
  <si>
    <t>คชจ.ประชุมสภากาแฟ</t>
  </si>
  <si>
    <t>ค่าเดินทาง อกก ร.ร.วันเปิดเทอม 11 ราย</t>
  </si>
  <si>
    <t>ฎ.81</t>
  </si>
  <si>
    <t>ฎ.71</t>
  </si>
  <si>
    <t>21 พย.61</t>
  </si>
  <si>
    <t>ฎ.77</t>
  </si>
  <si>
    <t>ฎ.69</t>
  </si>
  <si>
    <t>ฎ.68</t>
  </si>
  <si>
    <t>ฎ.70</t>
  </si>
  <si>
    <t>ฎ.72</t>
  </si>
  <si>
    <t>ฎ.82</t>
  </si>
  <si>
    <t>ฎ.83</t>
  </si>
  <si>
    <t>ฎ.85</t>
  </si>
  <si>
    <t>23 พย.61</t>
  </si>
  <si>
    <t>เงินยืม ประชุม ผอ.รร.</t>
  </si>
  <si>
    <t>ฎ.86</t>
  </si>
  <si>
    <t>ค่าเดินทาง อัมพร</t>
  </si>
  <si>
    <t>ฎ.87</t>
  </si>
  <si>
    <t>ค่าวัสดุ ศิลปะฯ</t>
  </si>
  <si>
    <t>27 พย.61</t>
  </si>
  <si>
    <t>ไอ.26</t>
  </si>
  <si>
    <t>ไอ.29</t>
  </si>
  <si>
    <t>เบิกซ่อมปริ้นเตอร์ 2 เครื่อง</t>
  </si>
  <si>
    <t>งบเงินอุดหนุน</t>
  </si>
  <si>
    <t>ตสน.</t>
  </si>
  <si>
    <t>ว 5556</t>
  </si>
  <si>
    <t>ค่าเดินทางประชุม ผู้ตรวจสอบภายใน</t>
  </si>
  <si>
    <t>ว 5458</t>
  </si>
  <si>
    <t>โครงการมหกรรมทางศิลปหัตถกรรมวิชาการ ปี2561</t>
  </si>
  <si>
    <t>ศน.กัญจนา</t>
  </si>
  <si>
    <t>โครงการนิเทศ ติดตามเพื่อพัฒนาคุณภาพการศึกษา</t>
  </si>
  <si>
    <t>โครงการเทิดทูนสถาบัน วันสำคัญ/ประเพณีไทย</t>
  </si>
  <si>
    <t>โครงการขับเคลื่อนพัฒนาประสิทธิภาพบริหารจัดการ</t>
  </si>
  <si>
    <t>ขอสนับสนุนจัดกิจกรรมการรับชมภาพยนต์วิทยาศาสตร์</t>
  </si>
  <si>
    <t>ศน.ปิยะวรรณ์</t>
  </si>
  <si>
    <t>ศิริพรรณ</t>
  </si>
  <si>
    <t>สิทธิกร</t>
  </si>
  <si>
    <t xml:space="preserve">                                ยอดเหลือจากจัดสรร</t>
  </si>
  <si>
    <t>โครงการพัฒนาและนำนโยบายการจัดการศึกษาสู่</t>
  </si>
  <si>
    <t>การปฏิบัติ สพป.พช.3</t>
  </si>
  <si>
    <t>ก.แผน/คนึง</t>
  </si>
  <si>
    <t>โครงการบริหารจัดการงานด้านบริหารบุคคล</t>
  </si>
  <si>
    <t>ปัทมาภรณ์</t>
  </si>
  <si>
    <t>โครงการเพิ่มประสิทธิภาพบริหารจัดการ สพป.พช.3</t>
  </si>
  <si>
    <t>อัจฉรา</t>
  </si>
  <si>
    <t>คชจ.ประชุม ก่อสร้าง ร.ร.</t>
  </si>
  <si>
    <t>ฎ.102</t>
  </si>
  <si>
    <t>กิตติกาญจ์</t>
  </si>
  <si>
    <t>ค่าเดินทางอบรมโภชนาการ อายิโนะโมะโต๊ะ</t>
  </si>
  <si>
    <t>ว 5542</t>
  </si>
  <si>
    <t>30 พย.61</t>
  </si>
  <si>
    <t xml:space="preserve">  ร.33062</t>
  </si>
  <si>
    <t>30 พย 61</t>
  </si>
  <si>
    <t>ว.5547</t>
  </si>
  <si>
    <t>ค่าเดินทางประชุมทีมเคลื่อนที่เร็ว (Roving Team)</t>
  </si>
  <si>
    <t>นิเทศฯ</t>
  </si>
  <si>
    <t>6 ธค.61</t>
  </si>
  <si>
    <t>ว 5603</t>
  </si>
  <si>
    <t>การรับนักเรียน ปี 2562</t>
  </si>
  <si>
    <t>โครงการเพิ่มประสิทธิภาพการบริหารสู่การบริการที่</t>
  </si>
  <si>
    <t>ผอ.ปาริชาติ</t>
  </si>
  <si>
    <t>โครงการประชาสัมพันธ์หน่วยงาน</t>
  </si>
  <si>
    <t>จุฑารัตน์</t>
  </si>
  <si>
    <t>ค่าจ้างครูวิทย์-คณิต   ครั้งที่ 1</t>
  </si>
  <si>
    <t>ฎ.105</t>
  </si>
  <si>
    <t>4 ธค.61</t>
  </si>
  <si>
    <t>ฎ.106</t>
  </si>
  <si>
    <t>เบิก 3 ราย</t>
  </si>
  <si>
    <t>ไอ.31</t>
  </si>
  <si>
    <t>ค่าป้ายไวนิล</t>
  </si>
  <si>
    <t>ซ่อมรถ กฉ.4701</t>
  </si>
  <si>
    <t>ไอ.32</t>
  </si>
  <si>
    <t>ฎ.107</t>
  </si>
  <si>
    <t>เบิกของเดือน พย.61</t>
  </si>
  <si>
    <t>ไอ.34</t>
  </si>
  <si>
    <t>ค่าถ่ายเอกสาร ศิลปะฯ</t>
  </si>
  <si>
    <t>คชจ.ประชุม อินเทอร์เน็ต ร.ร.</t>
  </si>
  <si>
    <t>ฎ.113</t>
  </si>
  <si>
    <t>7 ธค.61</t>
  </si>
  <si>
    <t>ฎ.114</t>
  </si>
  <si>
    <t>ฎ.112</t>
  </si>
  <si>
    <t>เบิกค่าประชุม 31 ตค. ปาริชาติ</t>
  </si>
  <si>
    <t>ฎ.110</t>
  </si>
  <si>
    <t>ค่าเดินทาง กิตติกาญจน์</t>
  </si>
  <si>
    <t>เบิก ของ พย.61</t>
  </si>
  <si>
    <t>พี.84</t>
  </si>
  <si>
    <t>ไอ.36</t>
  </si>
  <si>
    <t>เบิกเดือน พย.61</t>
  </si>
  <si>
    <t>ไอ.37</t>
  </si>
  <si>
    <t>เบิกของ เดือน พย.61</t>
  </si>
  <si>
    <t>ค่าจ้างนักการปกติ ค.2</t>
  </si>
  <si>
    <t>11 ธค.61</t>
  </si>
  <si>
    <t>ว 5651</t>
  </si>
  <si>
    <t>ค่าเช่าวัสดุ-อปกรณ์</t>
  </si>
  <si>
    <t>โครงการ สพป.พช. ไร้ขยะ</t>
  </si>
  <si>
    <t>ปาริชาติ ก้าน</t>
  </si>
  <si>
    <t>12 ธค.61</t>
  </si>
  <si>
    <t>ฎ.123</t>
  </si>
  <si>
    <t>ฎ.124</t>
  </si>
  <si>
    <t>เบิกเงินสมทบกองทุนเงินทดแทน/ลูกจ้าง</t>
  </si>
  <si>
    <t xml:space="preserve">  11.คชจ.บริหารจัดการสำนักงานฯ</t>
  </si>
  <si>
    <t>ไปรษณีย์  ตค.61</t>
  </si>
  <si>
    <t>ไปรษณีย์  พย..61</t>
  </si>
  <si>
    <t>ฎ.131</t>
  </si>
  <si>
    <t>ค่าถ่ายเอกสาร ประชุม ผอ.รร.</t>
  </si>
  <si>
    <t>ไอ.39</t>
  </si>
  <si>
    <t>ค่าพานพุ่มดอกไม้วันพ่อแห่งชาติ</t>
  </si>
  <si>
    <t>13 ธค.61</t>
  </si>
  <si>
    <t>ไอ.40</t>
  </si>
  <si>
    <t>ไอ.41</t>
  </si>
  <si>
    <t>ค่าน้ำดื่ม พย.61</t>
  </si>
  <si>
    <t>ไอ.42</t>
  </si>
  <si>
    <t>17 ธค.61</t>
  </si>
  <si>
    <t>ไอ.143</t>
  </si>
  <si>
    <t>ยืมไปค่าซ่อมครุภัณฑ์</t>
  </si>
  <si>
    <t xml:space="preserve">  รับจากค่าซ๋อมสิ่งก่อสร้าง</t>
  </si>
  <si>
    <t>ฎ.145</t>
  </si>
  <si>
    <t>19 ธค.61</t>
  </si>
  <si>
    <t>คชจ.ประชุม พรเมษา</t>
  </si>
  <si>
    <t>ไอ.46</t>
  </si>
  <si>
    <t>ไอ.47</t>
  </si>
  <si>
    <t>ไอ.48</t>
  </si>
  <si>
    <t>ค่าวัสดุ ประชุมธุรการ รร.</t>
  </si>
  <si>
    <t>ค่าถ่ายเอกสาร ประชุมธุรการ รร.</t>
  </si>
  <si>
    <t>ค่าป้ายไวนิล ประชุมธุรการ รร.</t>
  </si>
  <si>
    <t>ฎ.151</t>
  </si>
  <si>
    <t>ฎ.152</t>
  </si>
  <si>
    <t>ฎ.156</t>
  </si>
  <si>
    <t>เบิกของ ธค.61</t>
  </si>
  <si>
    <t>ว. 5776</t>
  </si>
  <si>
    <t>ค่าจ้างนักการ (คืนครูให้นักเรียน)</t>
  </si>
  <si>
    <t>เงินสมทบประกันสังคม</t>
  </si>
  <si>
    <t>ว. 5861</t>
  </si>
  <si>
    <t>20 ธค.61</t>
  </si>
  <si>
    <t>ว. 5801</t>
  </si>
  <si>
    <t>คชจ.อบรมธุรการโรงเรียน</t>
  </si>
  <si>
    <t>ว. 5756</t>
  </si>
  <si>
    <t>ค่าพาหนะภาคเรียน 2/2561</t>
  </si>
  <si>
    <t>รร.บ้านคลองดู่</t>
  </si>
  <si>
    <t>รร.บ้านหนองสะแกสี่</t>
  </si>
  <si>
    <t>รร.บ้านสระกรวด</t>
  </si>
  <si>
    <t>รร.บ้านเนินถาวร</t>
  </si>
  <si>
    <t>รร.บ้านนาเฉลียงใต้</t>
  </si>
  <si>
    <t>รร.บ้านห้วยโป่งไผ่ชวาง</t>
  </si>
  <si>
    <t>รร.บ้านกองทูล(พิทักษ์ราษฎร์)</t>
  </si>
  <si>
    <t>รร.สันเจริญโป่งสะทอน</t>
  </si>
  <si>
    <t>รร.บ้านสามัคคีพัฒนา</t>
  </si>
  <si>
    <t>รร.บ้านท่าโรง</t>
  </si>
  <si>
    <t>รร.บ้านหนองบัวทอง</t>
  </si>
  <si>
    <t>รร.โพทะเลประชาสรรค์</t>
  </si>
  <si>
    <t>รร.บ้านพุขาม</t>
  </si>
  <si>
    <t>รร.บ้านเขาสูงราษฎร์บำรุง</t>
  </si>
  <si>
    <t>รร.บ้านซับตะแบก</t>
  </si>
  <si>
    <t>รร.รัฐประชานุสรณ์</t>
  </si>
  <si>
    <t>รร.บ้านน้ำเดือด</t>
  </si>
  <si>
    <t>รร.บ้านราหุล</t>
  </si>
  <si>
    <t>รร.บ้านโป่งบุญเจริญ</t>
  </si>
  <si>
    <t>รร.บ้านทรัพย์เกษตร</t>
  </si>
  <si>
    <t>รร.บ้านซับสามัคคี</t>
  </si>
  <si>
    <t>รร.บ้านลำตะคร้อ</t>
  </si>
  <si>
    <t>รร.บ้านศรีมงคล</t>
  </si>
  <si>
    <t>รร.บ้านคลองตะคร้อ</t>
  </si>
  <si>
    <t>รร.บ้านห้วยทราย</t>
  </si>
  <si>
    <t>บริหารจัดการรถปิคอัพ  รร.พญาวัง</t>
  </si>
  <si>
    <t>บริหารจัดการรถปิคอัพ  รร.บ้านท่าด้วง</t>
  </si>
  <si>
    <t>บริหารจัดการรถตู้ รร.บ้านโป่งบุญเจริญ</t>
  </si>
  <si>
    <t xml:space="preserve">  ร.39002</t>
  </si>
  <si>
    <t>N 3104</t>
  </si>
  <si>
    <t>21 พย 61</t>
  </si>
  <si>
    <t>ค่าเช่าอินเทอร์เน็ต  ครั้งที่ 1</t>
  </si>
  <si>
    <t>ของ สพป.เพชรบูรณ์เขต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</si>
  <si>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</si>
  <si>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</si>
  <si>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</si>
  <si>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</si>
  <si>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บ้านน้ำเดือด</t>
  </si>
  <si>
    <t>บ้านคลองทราย</t>
  </si>
  <si>
    <t>บ้านซับสมบูรณ์</t>
  </si>
  <si>
    <t>บ้านกระทุ่มทองประชาสรรค์</t>
  </si>
  <si>
    <t>บ้านนาไร่เดียว</t>
  </si>
  <si>
    <t>อนุบาลวัดในเรืองศรีวิเชียรฯ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</si>
  <si>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</si>
  <si>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</si>
  <si>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</si>
  <si>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</si>
  <si>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</si>
  <si>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</si>
  <si>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</si>
  <si>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บ้านหนองบัวขาว</t>
  </si>
  <si>
    <t>บ้านใหม่วิไลวัลย์</t>
  </si>
  <si>
    <t>บ้านหนองไม้สอ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</si>
  <si>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</si>
  <si>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</si>
  <si>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</si>
  <si>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</si>
  <si>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บ้านหนองคล้า</t>
  </si>
  <si>
    <t>บ้านตะกุดไผ่</t>
  </si>
  <si>
    <t>บ้านภูน้ำหยด</t>
  </si>
  <si>
    <t>บ้านพรหมประชาสรรค์</t>
  </si>
  <si>
    <t>บ้านพระที่นั่ง</t>
  </si>
  <si>
    <t>บ้านซับตะแบก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</si>
  <si>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</si>
  <si>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</si>
  <si>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</si>
  <si>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</si>
  <si>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</si>
  <si>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</si>
  <si>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บ้านสระประดู่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</si>
  <si>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</si>
  <si>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</si>
  <si>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</si>
  <si>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</si>
  <si>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</si>
  <si>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</si>
  <si>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</si>
  <si>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</si>
  <si>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บ้านเกาะแก้ว</t>
  </si>
  <si>
    <t>บ้านวังขอน</t>
  </si>
  <si>
    <t>บ้านนาสวรรค์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</si>
  <si>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</si>
  <si>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</si>
  <si>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</si>
  <si>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</si>
  <si>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</si>
  <si>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</si>
  <si>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</si>
  <si>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</si>
  <si>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บ้านหนองหมู</t>
  </si>
  <si>
    <t>บ้านนาตะกุด</t>
  </si>
  <si>
    <t>บ้านศรีเทพน้อย</t>
  </si>
  <si>
    <t>บ้านโคกสะแกลาด</t>
  </si>
  <si>
    <t>บ้านร่องหอยพัฒนา</t>
  </si>
  <si>
    <t>บ้านทุ่งเศรษฐี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</si>
  <si>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</si>
  <si>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</si>
  <si>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</si>
  <si>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</si>
  <si>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</si>
  <si>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</si>
  <si>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</si>
  <si>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</si>
  <si>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</si>
  <si>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</si>
  <si>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</si>
  <si>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</si>
  <si>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</si>
  <si>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</si>
  <si>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</si>
  <si>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</si>
  <si>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บ้านหัวโตก</t>
  </si>
  <si>
    <t>บ้านบ่อไทย</t>
  </si>
  <si>
    <t>บ้านตีบใต้</t>
  </si>
  <si>
    <t>บ้านนาวังแหน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</si>
  <si>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</si>
  <si>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</si>
  <si>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</si>
  <si>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</si>
  <si>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</si>
  <si>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</si>
  <si>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</si>
  <si>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</si>
  <si>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</si>
  <si>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</si>
  <si>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</si>
  <si>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</si>
  <si>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</si>
  <si>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</si>
  <si>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</si>
  <si>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บ้านซับตะเคียนทอง</t>
  </si>
  <si>
    <t xml:space="preserve">บ้าน กม.30 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</si>
  <si>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</si>
  <si>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</si>
  <si>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</si>
  <si>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</si>
  <si>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</si>
  <si>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บ้านสระหมื่นเชียง</t>
  </si>
  <si>
    <t>บ้านโคกสง่านาข้าวดอ</t>
  </si>
  <si>
    <t>บ้านคลองตะพานหิน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</si>
  <si>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</si>
  <si>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</si>
  <si>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</si>
  <si>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</si>
  <si>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บ้านห้วยโป่ง-ไผ่ขวาง</t>
  </si>
  <si>
    <t>บ้านปู่จ้าว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</si>
  <si>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</si>
  <si>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</si>
  <si>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</si>
  <si>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</si>
  <si>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</si>
  <si>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</si>
  <si>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บ้านหินดาดน้อย</t>
  </si>
  <si>
    <t>บ้านราหุล</t>
  </si>
  <si>
    <t>บ้านวังปลา</t>
  </si>
  <si>
    <t>บ้านซับสำราญเหนือ</t>
  </si>
  <si>
    <t>บ้านพญาวัง</t>
  </si>
  <si>
    <t>บ้านซับสำราญใต้</t>
  </si>
  <si>
    <t>บ้านพนมเพชร</t>
  </si>
  <si>
    <t>บ้านยางสาว</t>
  </si>
  <si>
    <t>บ้านสระแก้ว</t>
  </si>
  <si>
    <t>บ้านวังไลย์</t>
  </si>
  <si>
    <t>บ้านหนองแจง</t>
  </si>
  <si>
    <t>บ้านหนองชุมแสง</t>
  </si>
  <si>
    <t>ไม่เบิก(ใช้เน็ตฟรี)</t>
  </si>
  <si>
    <t>ไม่เบิก(ใช้เน็ตฟรีของ TOT)</t>
  </si>
  <si>
    <t>ไม่เบิก(เรียนรวมกับ ร.ร.รวมทรัพย์)</t>
  </si>
  <si>
    <t>ไม่เบิก(ยุบเลิกสถานศึกษา)</t>
  </si>
  <si>
    <t>ไอ.49</t>
  </si>
  <si>
    <t>ค่าเช่าเน็ต พย.61</t>
  </si>
  <si>
    <t>พี.111</t>
  </si>
  <si>
    <t>เบิกของ พย.61</t>
  </si>
  <si>
    <t>ฎ.155</t>
  </si>
  <si>
    <t>ฎ.161</t>
  </si>
  <si>
    <t>ฎ.159</t>
  </si>
  <si>
    <t>ฎ.157</t>
  </si>
  <si>
    <t>ฎ.154</t>
  </si>
  <si>
    <t>21 ธค.61</t>
  </si>
  <si>
    <t>ฎ.165</t>
  </si>
  <si>
    <t>คชจ.ประชุมอัตรากำลัง</t>
  </si>
  <si>
    <t>คชจ.ประชุม</t>
  </si>
  <si>
    <t>ฎ.164</t>
  </si>
  <si>
    <t>ฎ.163</t>
  </si>
  <si>
    <t>เงินยืม ปาริชาติ 5 ส. (27 ธค.61)</t>
  </si>
  <si>
    <t>25 ธค.61</t>
  </si>
  <si>
    <t>ว 5886</t>
  </si>
  <si>
    <t>ค่าเดินทางอบรม TEPE Online</t>
  </si>
  <si>
    <t>ธนิษฐา</t>
  </si>
  <si>
    <t>ทีโอที  พย.61</t>
  </si>
  <si>
    <t>ฎ.167</t>
  </si>
  <si>
    <t>26 ธค.61</t>
  </si>
  <si>
    <t>ไอ.51</t>
  </si>
  <si>
    <t>ป้ายไวนิลรับนักเรียน</t>
  </si>
  <si>
    <t>ฎ.170</t>
  </si>
  <si>
    <t>27 ธค.61</t>
  </si>
  <si>
    <t>ฎ.171</t>
  </si>
  <si>
    <t>ฎ.172</t>
  </si>
  <si>
    <t>27 ธ๕.61</t>
  </si>
  <si>
    <t>ว. 5925</t>
  </si>
  <si>
    <t>ค่าตอบแทนพนง.  ครั้งที่ 2 (3 ด.)</t>
  </si>
  <si>
    <t xml:space="preserve"> ประกันสังคม พนง.ราชการ ค.2</t>
  </si>
  <si>
    <t>ศน.วิลัยภรณ์</t>
  </si>
  <si>
    <t>28 ธค.61</t>
  </si>
  <si>
    <t>ว. 5982</t>
  </si>
  <si>
    <t>คชจ.แข่งขันวิชาการระดับนานาชาติ รอบแรก</t>
  </si>
  <si>
    <t>ว. 5984</t>
  </si>
  <si>
    <t>ค่าเดินทางประชุมครูผู้ช่วยวิชาวิทย์-คณิตฯ</t>
  </si>
  <si>
    <t>บุคคล</t>
  </si>
  <si>
    <t>ฎ.141</t>
  </si>
  <si>
    <t>ประปา พย.61</t>
  </si>
  <si>
    <t>ประปา กย.61- ตค.61</t>
  </si>
  <si>
    <t>ทีโอที  ตค.61</t>
  </si>
  <si>
    <t>พี.121</t>
  </si>
  <si>
    <t>เบิกของ พย.61 / 1 ราย</t>
  </si>
  <si>
    <t xml:space="preserve">  ร.39007</t>
  </si>
  <si>
    <t>ทีโอที  กย.61</t>
  </si>
  <si>
    <t>ฎ.111</t>
  </si>
  <si>
    <t>เบิกเงินครู 3 ราย</t>
  </si>
  <si>
    <t>2 มค.62</t>
  </si>
  <si>
    <t>ฎ.179</t>
  </si>
  <si>
    <t>ฎ.175</t>
  </si>
  <si>
    <t>ค่าเดิอทาง ศน. 6 ราย (รร.คุณภาพฯ)</t>
  </si>
  <si>
    <t>ฎ.176</t>
  </si>
  <si>
    <t>ฎ.178</t>
  </si>
  <si>
    <t>ฎ.185</t>
  </si>
  <si>
    <t>ค่าเดินทาง ครูรร.ปากตก</t>
  </si>
  <si>
    <t>ฎ.187</t>
  </si>
  <si>
    <t>เบิกของ ตค.- ธค.61</t>
  </si>
  <si>
    <t>ไอ.54</t>
  </si>
  <si>
    <t>ไอ.55</t>
  </si>
  <si>
    <t>ค่าวัสดุ 5 ส.</t>
  </si>
  <si>
    <t>ค่าป้ายไวนิล 5 ส.</t>
  </si>
  <si>
    <t>ไอ.53</t>
  </si>
  <si>
    <t>3 มค.62</t>
  </si>
  <si>
    <t>น้ำมันตัดหญ้า</t>
  </si>
  <si>
    <t>7 มค.62</t>
  </si>
  <si>
    <t>ไอ.56</t>
  </si>
  <si>
    <t>โครงการ รวมพลังพัฒนาเด็กไทย อ่านเขียน คิด</t>
  </si>
  <si>
    <t>คำนวณได้ 100 %  ครั้งที่ 2</t>
  </si>
  <si>
    <t>ค่าเดินทาง ศน.รังสิมา</t>
  </si>
  <si>
    <t>ค่าเดินทาง ศน.พัชรินทร์</t>
  </si>
  <si>
    <t>ฎ.193</t>
  </si>
  <si>
    <t>9 มค.62</t>
  </si>
  <si>
    <t>เบิกค่าเดินทาง ศน.รังสิมา</t>
  </si>
  <si>
    <t>ฎ.194</t>
  </si>
  <si>
    <t>ฎ.195</t>
  </si>
  <si>
    <t>ค่าค่าเดินทาง อ๋อ, ชาริณี</t>
  </si>
  <si>
    <t>ฎ.197</t>
  </si>
  <si>
    <t>เบิกของเดือน ธค.61</t>
  </si>
  <si>
    <t>ฎ.199</t>
  </si>
  <si>
    <t>ณ  วันที่        มกราคม  2562</t>
  </si>
  <si>
    <t>ร.39001</t>
  </si>
  <si>
    <t>ร.39002</t>
  </si>
  <si>
    <t>ศน.ลภัสลดา</t>
  </si>
  <si>
    <t>18 มค.62</t>
  </si>
  <si>
    <t>ว 253</t>
  </si>
  <si>
    <t>ค่าเดินทางอบรมผู้นำเครือข่ายท้องถิ่น (LN)</t>
  </si>
  <si>
    <t>ฎ.221</t>
  </si>
  <si>
    <t>17 มค.62</t>
  </si>
  <si>
    <t>ฎ.222</t>
  </si>
  <si>
    <t>เบิกของ มค.62</t>
  </si>
  <si>
    <t>ฎ.228</t>
  </si>
  <si>
    <t>21 มค.62</t>
  </si>
  <si>
    <t>ทีโอที  ธค.61</t>
  </si>
  <si>
    <t>ฎ.240</t>
  </si>
  <si>
    <t>ค่าเช่าเน็ต ธค.61</t>
  </si>
  <si>
    <t>ไอ.78</t>
  </si>
  <si>
    <t xml:space="preserve"> 1. ค่าซ่อมแซมครุภัณฑ์</t>
  </si>
  <si>
    <t xml:space="preserve"> 2. ค่าวัสดุสำนักงาน</t>
  </si>
  <si>
    <t xml:space="preserve"> 3. ค่าซ่อมแอร์</t>
  </si>
  <si>
    <t xml:space="preserve"> 4. ค่าน้ำมันเชื้อเพลิง</t>
  </si>
  <si>
    <t xml:space="preserve"> 5. ค่าซ่อมรถฯ</t>
  </si>
  <si>
    <t xml:space="preserve"> 6. ค่าเบี้ยประชุมกรรมการ กตปน.</t>
  </si>
  <si>
    <t xml:space="preserve">  7. ค่าเบี้ยเลี้ยง+พาหนะ</t>
  </si>
  <si>
    <t xml:space="preserve">  8. ค่าซ่อมแซมสิ่งก่อสร้าง</t>
  </si>
  <si>
    <t xml:space="preserve">  9. ค่าจ้างถ่ายเอกสาร</t>
  </si>
  <si>
    <t xml:space="preserve">  10. ค่าประกันภัยรถยนต์</t>
  </si>
  <si>
    <t xml:space="preserve">  11. คชจ.บริหารจัดการสำนักงาน</t>
  </si>
  <si>
    <t xml:space="preserve">                                  รวม</t>
  </si>
  <si>
    <t>อนุมัติ</t>
  </si>
  <si>
    <t>รายการงบประจำสำนักงาน</t>
  </si>
  <si>
    <t xml:space="preserve"> 12. ค่าสาธารณูปโภค</t>
  </si>
  <si>
    <t xml:space="preserve">    12.1 ค่าน้ำประปา</t>
  </si>
  <si>
    <t xml:space="preserve">    12.2 ค่าไฟฟ้า</t>
  </si>
  <si>
    <t xml:space="preserve">    12.3 ค่าไปรษณีย์</t>
  </si>
  <si>
    <t xml:space="preserve">    12.4 ค่าโทรศัพท์</t>
  </si>
  <si>
    <t>รหัส 002</t>
  </si>
  <si>
    <t>15 มค.62</t>
  </si>
  <si>
    <t>ฎ.209</t>
  </si>
  <si>
    <t>ฎ.210</t>
  </si>
  <si>
    <t>ฎไอ.68</t>
  </si>
  <si>
    <t>ค่าน้ำดื่ม ธค.61</t>
  </si>
  <si>
    <t>15 มค.61</t>
  </si>
  <si>
    <t>ไอ.69</t>
  </si>
  <si>
    <t>ไอ.70</t>
  </si>
  <si>
    <t>ค่าสื่อ คัดแยกขยะก่อนทิ้ง</t>
  </si>
  <si>
    <t>ป้ายไวนิล ขยะ</t>
  </si>
  <si>
    <t>ไอ.71</t>
  </si>
  <si>
    <t>ค่าวัสดุ</t>
  </si>
  <si>
    <t>ไอ.72</t>
  </si>
  <si>
    <t>ค่าถ่ายเอกสาร</t>
  </si>
  <si>
    <t>ไอ.73</t>
  </si>
  <si>
    <t>เบิกเดือน ธค.61</t>
  </si>
  <si>
    <t>ไอ.75</t>
  </si>
  <si>
    <t>ฎ.229</t>
  </si>
  <si>
    <t>ฎ.230</t>
  </si>
  <si>
    <t>ฎ.231</t>
  </si>
  <si>
    <t>18 มค.61</t>
  </si>
  <si>
    <t>ไอ.82</t>
  </si>
  <si>
    <t>ไอ.83</t>
  </si>
  <si>
    <t>ไอ.154</t>
  </si>
  <si>
    <t>เบิกของ  ธค.61</t>
  </si>
  <si>
    <t>ฎ.242</t>
  </si>
  <si>
    <t>ฎ.243</t>
  </si>
  <si>
    <t>ฎ.244</t>
  </si>
  <si>
    <t>ฎ.245</t>
  </si>
  <si>
    <t>ฎ.246</t>
  </si>
  <si>
    <t>ฎ.253</t>
  </si>
  <si>
    <t>ฎ.252</t>
  </si>
  <si>
    <t>ฎ.250</t>
  </si>
  <si>
    <t>ฎ.251</t>
  </si>
  <si>
    <t>ฎ.257</t>
  </si>
  <si>
    <t>ฎ.254</t>
  </si>
  <si>
    <t>ฎ.256</t>
  </si>
  <si>
    <t>ฎ.248</t>
  </si>
  <si>
    <t>ค่าเดินทาง ศน.เสาวภา</t>
  </si>
  <si>
    <t>ฎ.258</t>
  </si>
  <si>
    <t>ฎ.259</t>
  </si>
  <si>
    <t>ค่าเดินทาง พรรณทิยพ์, กิตติกาญ</t>
  </si>
  <si>
    <t>ค่าเดิ5ทาง รองสมหมาย+ 3 ราย</t>
  </si>
  <si>
    <t>ค่าเดินทาง ศน.พัชรินทร์ (ศิลปะฯ)</t>
  </si>
  <si>
    <t>ค่าเดินทาง กิตติกาญ,จุฑารัตน์</t>
  </si>
  <si>
    <t>เงินยืม รองสมหมาย</t>
  </si>
  <si>
    <t>ฎ.260</t>
  </si>
  <si>
    <t>ฎ.267</t>
  </si>
  <si>
    <t>ค่าเดินทาง ศน.เสาวภา, สุปัญญา</t>
  </si>
  <si>
    <t>23 มค.62</t>
  </si>
  <si>
    <t>ฎ.263</t>
  </si>
  <si>
    <t>ฎ.262</t>
  </si>
  <si>
    <t>ฎ.261</t>
  </si>
  <si>
    <t>รายจ่ายงบประจำ</t>
  </si>
  <si>
    <t>ร้อยละ   36</t>
  </si>
  <si>
    <t>ร้อยละ   57</t>
  </si>
  <si>
    <t>ร้อยละ   80</t>
  </si>
  <si>
    <t>ร้อยละ   100</t>
  </si>
  <si>
    <t>ร้อยละ   20</t>
  </si>
  <si>
    <t>ร้อยละ   45</t>
  </si>
  <si>
    <t>ร้อยละ   65</t>
  </si>
  <si>
    <t xml:space="preserve">   - ไตรมาสที่ 1      ร้อยละ   32</t>
  </si>
  <si>
    <t xml:space="preserve">  - ไตรมาสที่ 2      ร้อยละ    54</t>
  </si>
  <si>
    <t xml:space="preserve">  - ไตรมาสที่ 3      ร้อยละ   65</t>
  </si>
  <si>
    <t xml:space="preserve">  - ไตรมาสที่ 4      ร้อยละ   100</t>
  </si>
  <si>
    <t xml:space="preserve">            รายจ่ายภาพรวม</t>
  </si>
  <si>
    <t>เงินยืม</t>
  </si>
  <si>
    <t>ฎ.190</t>
  </si>
  <si>
    <t>3 ธค.61</t>
  </si>
  <si>
    <t>ฎ.200</t>
  </si>
  <si>
    <t>พี.181</t>
  </si>
  <si>
    <t>25 มค.62</t>
  </si>
  <si>
    <t>เบิกเงินค่าเบี้ยประชุม/รร.นาเฉลียงใต้</t>
  </si>
  <si>
    <t>คชจ.ข้ามปี</t>
  </si>
  <si>
    <t>28 มค.62</t>
  </si>
  <si>
    <t>ว 350</t>
  </si>
  <si>
    <t>ค่าจ้างนักการ (คืนครูให้นักเรียน) 2</t>
  </si>
  <si>
    <t>ว. 355</t>
  </si>
  <si>
    <t>ค่าพาหนะเดินทางประชุมปฐมวัยแนวคิดไอสโคป</t>
  </si>
  <si>
    <t>(HighScop) -ของ ศน. และครูที่รับผิดชอบ</t>
  </si>
  <si>
    <t>รับงบเพิ่มครั้งที่ 2</t>
  </si>
  <si>
    <t>ฎ.274</t>
  </si>
  <si>
    <t>เบิกเงินสมทบกองทุนเงินทดแทน ปี62</t>
  </si>
  <si>
    <t>ฎ.275</t>
  </si>
  <si>
    <t>ฎ.276</t>
  </si>
  <si>
    <t>ฎ.277</t>
  </si>
  <si>
    <t>ว 324</t>
  </si>
  <si>
    <t>คชจ.ประเมินบ้านนักวิทย์/ ค่าพาหนะเดินทาง</t>
  </si>
  <si>
    <t xml:space="preserve">  ร.06036</t>
  </si>
  <si>
    <t>24 มค.62</t>
  </si>
  <si>
    <t>ว 321</t>
  </si>
  <si>
    <t>ผอ.พรรณทิพย์</t>
  </si>
  <si>
    <t>งบป้องกันและแก้ไขปัญหายาเสพติด งวดที่ 1</t>
  </si>
  <si>
    <t>ฎ.280</t>
  </si>
  <si>
    <t>ฎ.281</t>
  </si>
  <si>
    <t>ค่าน้ำมันเชื้อเพลิง</t>
  </si>
  <si>
    <t>ฎ.279</t>
  </si>
  <si>
    <t>ค่าพานพุ่มดอกไม้วันศาลสมเด็จนเรศวร</t>
  </si>
  <si>
    <t>29 มค.62</t>
  </si>
  <si>
    <t>ไอ.98</t>
  </si>
  <si>
    <t>30 มค.62</t>
  </si>
  <si>
    <t>ว. 416</t>
  </si>
  <si>
    <t>ศน.อมรินทร์</t>
  </si>
  <si>
    <t>ว .379</t>
  </si>
  <si>
    <t>คชจ.ประเมินวิทยฐานะชำนาญการพิเศษ</t>
  </si>
  <si>
    <t>รับจากค่าวัสดุ</t>
  </si>
  <si>
    <t>รืบจากค่าวัสดุ/ค่าซ่อมรถ</t>
  </si>
  <si>
    <t>รับจากค่าวัสดุ สนง.</t>
  </si>
  <si>
    <t xml:space="preserve">                         รวมค่าสาธารณูฯ</t>
  </si>
  <si>
    <t>ตัดไปเป็นค่าไฟฟ้า</t>
  </si>
  <si>
    <t>ตัดไปงบบริหาร สนง.</t>
  </si>
  <si>
    <t>ตัดไปค่าซ่อมครุภัณฑ์</t>
  </si>
  <si>
    <t>งบกลยุทธ์โครงการ   (300,000 )</t>
  </si>
  <si>
    <t>ว.225</t>
  </si>
  <si>
    <t>รับงบประมาณบริหารฯ  ครั้งที่ 2</t>
  </si>
  <si>
    <t>เบิก ของ ธค.61</t>
  </si>
  <si>
    <t>คชจ.อบรมครูสะเต็มศึกษา STEM</t>
  </si>
  <si>
    <t>31 มค.62</t>
  </si>
  <si>
    <t>ว 493</t>
  </si>
  <si>
    <t>ค่าเดินทางประชุมโครงการโรงเรียนคุณภาพประจำตำบล</t>
  </si>
  <si>
    <t>ว. 474</t>
  </si>
  <si>
    <t xml:space="preserve">  ร.61037</t>
  </si>
  <si>
    <t>ค่าเดินทางประชุมต่อต้านการทุจริตตามแนวแม่บท</t>
  </si>
  <si>
    <t>ว.487</t>
  </si>
  <si>
    <t xml:space="preserve">  ร.39004</t>
  </si>
  <si>
    <t>1 กพ.62</t>
  </si>
  <si>
    <t>ว. 515</t>
  </si>
  <si>
    <t>โครงการการขัดการศึกษาเรียนรวม</t>
  </si>
  <si>
    <t>4 กพ.62</t>
  </si>
  <si>
    <t>ว 546</t>
  </si>
  <si>
    <t>ค่าจ้างธุรการ  9,000  ครั้งที่ 2</t>
  </si>
  <si>
    <t>ไอ.79</t>
  </si>
  <si>
    <t>ไอ.80</t>
  </si>
  <si>
    <t>ไอ.81</t>
  </si>
  <si>
    <t xml:space="preserve">   (งบบุคลากร)</t>
  </si>
  <si>
    <t>ฎ.300</t>
  </si>
  <si>
    <t>เบิกค่าเดินทาง</t>
  </si>
  <si>
    <t>ฎ.304</t>
  </si>
  <si>
    <t>ค่าเดินทางรองสันฯ/รองสมหมาย</t>
  </si>
  <si>
    <t>ฎ.303</t>
  </si>
  <si>
    <t>ฎ.302</t>
  </si>
  <si>
    <t>ฎ.301</t>
  </si>
  <si>
    <t>ค่าเช่าเน็ต มค.62</t>
  </si>
  <si>
    <t>ไอ.116</t>
  </si>
  <si>
    <t>ไอ.117</t>
  </si>
  <si>
    <t>ไอ.118</t>
  </si>
  <si>
    <t>ไอ.119</t>
  </si>
  <si>
    <t>ไอ.120</t>
  </si>
  <si>
    <t>ไอ.112</t>
  </si>
  <si>
    <t>ฎ.308</t>
  </si>
  <si>
    <t>เงินยืม ผอ.คะนึง</t>
  </si>
  <si>
    <t>5 กพ.62</t>
  </si>
  <si>
    <t>เงินยืม ปาริชาติ</t>
  </si>
  <si>
    <t>ฎ.318</t>
  </si>
  <si>
    <t>เงินยืม กิตติกาญจน์</t>
  </si>
  <si>
    <t>ฎ.319</t>
  </si>
  <si>
    <t>ไอ.121</t>
  </si>
  <si>
    <t>ค่าทำเอกสาร</t>
  </si>
  <si>
    <t>ค่าเดินทางกิตติกาญ, อภิรดี</t>
  </si>
  <si>
    <t>ฎ.320</t>
  </si>
  <si>
    <t>ฎ.321</t>
  </si>
  <si>
    <t>เงินยืมรองสันติชัย</t>
  </si>
  <si>
    <t>ฎ.322</t>
  </si>
  <si>
    <t>ไอ.123</t>
  </si>
  <si>
    <t>ค่าเอกสาร ประชุม ผอ.รร.</t>
  </si>
  <si>
    <t>ไอ.124</t>
  </si>
  <si>
    <t>ซ่อมรถ นข.1318</t>
  </si>
  <si>
    <t>7 กพ.62</t>
  </si>
  <si>
    <t>พี.209</t>
  </si>
  <si>
    <t>เบิก ของ มค.62</t>
  </si>
  <si>
    <t>ไอ.126</t>
  </si>
  <si>
    <t>ค่าวารสาร ฉบับที่ 1</t>
  </si>
  <si>
    <t>เงินยืม ศน.พัชรินทร์</t>
  </si>
  <si>
    <t>ฎ.332</t>
  </si>
  <si>
    <t>ฎ.334</t>
  </si>
  <si>
    <t>ฎ.338</t>
  </si>
  <si>
    <t>ค่าประกันภัยรถ... คัน</t>
  </si>
  <si>
    <t>ค่าเดินทาง ศน.วิลัยภรณ์</t>
  </si>
  <si>
    <t>ฎ.339</t>
  </si>
  <si>
    <t>ฎ.340</t>
  </si>
  <si>
    <t>เงินยืม ศน.พัชรินทร์ ไป พะเยา</t>
  </si>
  <si>
    <t>คืนเงินยืม ศน. ฎ.143</t>
  </si>
  <si>
    <t>คืนเงินเข้ากองกลาง</t>
  </si>
  <si>
    <t>คชจ.ในการประชุมประกวดราคาจ้าง/อินเทอร์เน็ต</t>
  </si>
  <si>
    <t>11 กพ.62</t>
  </si>
  <si>
    <t>ว. 607</t>
  </si>
  <si>
    <t>คชจ.การสอบปลายปีของผู้เรียน ปี2562</t>
  </si>
  <si>
    <t>8 กพ.62</t>
  </si>
  <si>
    <t>ไอ.127</t>
  </si>
  <si>
    <t>ไอ.128</t>
  </si>
  <si>
    <t>ไอ.129</t>
  </si>
  <si>
    <t>ฎ.341</t>
  </si>
  <si>
    <t>เบิกเดือน มค.62</t>
  </si>
  <si>
    <t>12 กพ.62</t>
  </si>
  <si>
    <t>ไอ.132</t>
  </si>
  <si>
    <t xml:space="preserve">  รับจากค่าซ๋อมสิ่งก่อสร้าง 1</t>
  </si>
  <si>
    <t xml:space="preserve">  รับจากค่าซ๋อมสิ่งก่อสร้าง 2</t>
  </si>
  <si>
    <t>ตัดไปค่าประปา</t>
  </si>
  <si>
    <t>รับมาจากค่าซ่อมสิ่งก่อสร้าง</t>
  </si>
  <si>
    <t>รับมาจากงบค่า..ฯ 6 รายการ</t>
  </si>
  <si>
    <t>13 กพ.62</t>
  </si>
  <si>
    <t>ว. 648</t>
  </si>
  <si>
    <t>คชจ.โครงการโรงเรียนคุณภาพประจำตำบล</t>
  </si>
  <si>
    <t>ว. 613</t>
  </si>
  <si>
    <t>ค่าเดินทางประชุมผู้จัดค่ายป้องกันปัญหายาเสพติด</t>
  </si>
  <si>
    <t>เงินสมทบฯ</t>
  </si>
  <si>
    <t>ว. 701</t>
  </si>
  <si>
    <t>เงินสมทบกองทุนฯ ปี 62 (5 รายการ)</t>
  </si>
  <si>
    <t>ฎ.348</t>
  </si>
  <si>
    <t>ค่าไฟเดือน มค.62</t>
  </si>
  <si>
    <t>ฎ.349</t>
  </si>
  <si>
    <t>ฎ.350</t>
  </si>
  <si>
    <t>ตกเบิก 3 ราย</t>
  </si>
  <si>
    <t>ฎ.352</t>
  </si>
  <si>
    <t>ค่าจ้างพนง.ขับรถ</t>
  </si>
  <si>
    <t>ฎ.351</t>
  </si>
  <si>
    <t>ไอ.141</t>
  </si>
  <si>
    <t>ไอ.138</t>
  </si>
  <si>
    <t>ค่าน้ำดื่ม มค.62</t>
  </si>
  <si>
    <t>ไอ.137</t>
  </si>
  <si>
    <t>ไอ.139</t>
  </si>
  <si>
    <t>14 กพ.62</t>
  </si>
  <si>
    <t>ฎ.361</t>
  </si>
  <si>
    <t>รับมาจากค่ำไฟฟ้า</t>
  </si>
  <si>
    <t>เบิกของเดือน มค.62</t>
  </si>
  <si>
    <t>ค่าเดินทาง ศน.ปาริชาติ, ศน.ปัณณธร</t>
  </si>
  <si>
    <t>ฎ.362</t>
  </si>
  <si>
    <t>ฎ.363</t>
  </si>
  <si>
    <t>เบิกของ กพ.62</t>
  </si>
  <si>
    <t>ค่าซื้อดินปลูกต้นไม้</t>
  </si>
  <si>
    <t>พี.221</t>
  </si>
  <si>
    <t>ไอ.145</t>
  </si>
  <si>
    <t>ไอ.147</t>
  </si>
  <si>
    <t>ไอ.142</t>
  </si>
  <si>
    <t>(มค - กย.62) สัญญาเพิ่ม</t>
  </si>
  <si>
    <t>15 กพ.62</t>
  </si>
  <si>
    <t>ไอ.148</t>
  </si>
  <si>
    <t>21 กพ.62</t>
  </si>
  <si>
    <t>ว. 790</t>
  </si>
  <si>
    <t>ค่าจ้าง เขต 9 ราย  ครั้งที่ 2</t>
  </si>
  <si>
    <t>20 กพ.62</t>
  </si>
  <si>
    <t>ฎ.375</t>
  </si>
  <si>
    <t>ฎ.376</t>
  </si>
  <si>
    <t>ฎ.377</t>
  </si>
  <si>
    <t>ฎ.378</t>
  </si>
  <si>
    <t>ฎ.379</t>
  </si>
  <si>
    <t>ค่าซ่อมรถฯ</t>
  </si>
  <si>
    <t>ฎ.385</t>
  </si>
  <si>
    <t>ฎ.384</t>
  </si>
  <si>
    <t>ทีโอที  มค.62</t>
  </si>
  <si>
    <t>ฎ.380</t>
  </si>
  <si>
    <t>ฎ.387</t>
  </si>
  <si>
    <t>ฎ.388</t>
  </si>
  <si>
    <t>ฎ.389</t>
  </si>
  <si>
    <t>ฎ.390</t>
  </si>
  <si>
    <t>ฎ.391</t>
  </si>
  <si>
    <t>ฎ.392</t>
  </si>
  <si>
    <t>ฎ.393</t>
  </si>
  <si>
    <t>ฎ.394</t>
  </si>
  <si>
    <t>ฎ.395</t>
  </si>
  <si>
    <t>ฎ.396</t>
  </si>
  <si>
    <t>22 กพ.62</t>
  </si>
  <si>
    <t>ว. 816</t>
  </si>
  <si>
    <t>โครงการพัฒนาจัดประสบการณ์เรียนสอนปฐมวัย ปี62</t>
  </si>
  <si>
    <t>ว 773</t>
  </si>
  <si>
    <t>เงินอุดหนุนยากจน ภาคเรียน 2/61</t>
  </si>
  <si>
    <t>ฎ.398</t>
  </si>
  <si>
    <t>ค่าเครื่งอมือประเมินฯ</t>
  </si>
  <si>
    <t>เงินอุดหนุนภาคเรียน 2/61 (30%)</t>
  </si>
  <si>
    <t>ว. 626</t>
  </si>
  <si>
    <t>ฎ.353</t>
  </si>
  <si>
    <t>ฎ.354</t>
  </si>
  <si>
    <t>ฎ.355</t>
  </si>
  <si>
    <t>เบิกเงิน 190 รร.</t>
  </si>
  <si>
    <t>ฎ.39</t>
  </si>
  <si>
    <t>ฎ.40</t>
  </si>
  <si>
    <t>รับคืนเงิน รร.หินดาดน้อย,ซับสมพงษ์</t>
  </si>
  <si>
    <t xml:space="preserve">  กิจกรรมพัฒนาคุณภาพผู้เรียน</t>
  </si>
  <si>
    <t xml:space="preserve"> ค่าอุปกรณ์การเรียน</t>
  </si>
  <si>
    <t xml:space="preserve"> ค่าจัดการเรียนการสอน</t>
  </si>
  <si>
    <t>เบิกเงินอุดหนุน 190  รร.</t>
  </si>
  <si>
    <t>26 กพ.62</t>
  </si>
  <si>
    <t>ฎ.450</t>
  </si>
  <si>
    <t>ฎ.399</t>
  </si>
  <si>
    <t>ค่าเก็บขยะ ธค.61 - มค.62</t>
  </si>
  <si>
    <t>ฎ.401</t>
  </si>
  <si>
    <t>เงินยืม ศน.ลภัสลดา</t>
  </si>
  <si>
    <t>26 dr.62</t>
  </si>
  <si>
    <t>E.403</t>
  </si>
  <si>
    <t>26กพ.62</t>
  </si>
  <si>
    <t>ฎ.402</t>
  </si>
  <si>
    <t>สรุปผลการเบิกจ่ายเงินงบประมาณ  ปี  2562</t>
  </si>
  <si>
    <t>ตัดไปค่าไปรษณีย์</t>
  </si>
  <si>
    <t xml:space="preserve">                      ยอดรวมทั้งสิ้น</t>
  </si>
  <si>
    <t>27 กพ.62</t>
  </si>
  <si>
    <t>รับมาจาก งบบริหาร สนง.</t>
  </si>
  <si>
    <t>คชจ.อบรมวิทยาการคอมฯ โครงการบ้านวิทย์ฯ</t>
  </si>
  <si>
    <t>28 กพ.62</t>
  </si>
  <si>
    <t>ว. 888</t>
  </si>
  <si>
    <t>ว. 889</t>
  </si>
  <si>
    <t>คชจ.ระบบดูแลช่วยเหลือนักเรียน</t>
  </si>
  <si>
    <t>งบลงทุน (ค่าครุภัณฑ์/สิ่งก่อสร้าง)</t>
  </si>
  <si>
    <t>1 มีค.62</t>
  </si>
  <si>
    <t>ฎ.409</t>
  </si>
  <si>
    <t>ค่าเดินทาง พรรณทิพย์</t>
  </si>
  <si>
    <t>ฎ.407</t>
  </si>
  <si>
    <t>ค่าเดินทาง รองสันติชัย</t>
  </si>
  <si>
    <t>ฎ.406</t>
  </si>
  <si>
    <t>เบิกค่าเดินทาง ศน.ปัณณฯ</t>
  </si>
  <si>
    <t>ค่าเดินทาง จุฑารัตน์/อภิรดี</t>
  </si>
  <si>
    <t>ฎ.410</t>
  </si>
  <si>
    <t>ฎ.411</t>
  </si>
  <si>
    <t>ฎ.408</t>
  </si>
  <si>
    <t>ค่าเดินทาง สุทัศน์</t>
  </si>
  <si>
    <t>4 มีค.62</t>
  </si>
  <si>
    <t>ฎ.413</t>
  </si>
  <si>
    <t>ตกเบิก 9 ราย</t>
  </si>
  <si>
    <t>5 มีค.62</t>
  </si>
  <si>
    <t>ฎ.414</t>
  </si>
  <si>
    <t>ฎ.415</t>
  </si>
  <si>
    <t>เงินยืม ปวงอร</t>
  </si>
  <si>
    <t>6 มีค.62</t>
  </si>
  <si>
    <t>ไอ.159</t>
  </si>
  <si>
    <t>ฎ.416</t>
  </si>
  <si>
    <t>ตกเบิก 1 ราย</t>
  </si>
  <si>
    <t>ฎ.417</t>
  </si>
  <si>
    <t>ค่าเดินทางรัชนีย์/ปาจรีย์</t>
  </si>
  <si>
    <t>ฎ.418</t>
  </si>
  <si>
    <t>ฎ.420</t>
  </si>
  <si>
    <t>ค่าเดินทาง รองสมหมาย</t>
  </si>
  <si>
    <t>ฎ.421</t>
  </si>
  <si>
    <t>ฎ.422</t>
  </si>
  <si>
    <t>ฎ.427</t>
  </si>
  <si>
    <t>ฎ.423</t>
  </si>
  <si>
    <t>เบิกเดือน กพ.62</t>
  </si>
  <si>
    <t>เบิก ของ กพ.62</t>
  </si>
  <si>
    <t>8 มีค.62</t>
  </si>
  <si>
    <t>พี.268</t>
  </si>
  <si>
    <t>โครงการบ้านวิทย์ฯ น้อย ปี 2562</t>
  </si>
  <si>
    <t>13 มีค.62</t>
  </si>
  <si>
    <t>ว 1042</t>
  </si>
  <si>
    <t>ว.1080</t>
  </si>
  <si>
    <t>เงินอุดหนุนภาคเรียน 1/62 (70%)</t>
  </si>
  <si>
    <t xml:space="preserve"> ค่าหนั้งสือเรียน</t>
  </si>
  <si>
    <t xml:space="preserve"> ค่าเครื่องแบบนักเรียน</t>
  </si>
  <si>
    <t>ฎ.451</t>
  </si>
  <si>
    <t>ฎ.452</t>
  </si>
  <si>
    <t>ฎ.453</t>
  </si>
  <si>
    <t>ฎ.454</t>
  </si>
  <si>
    <t>15 มีค.62</t>
  </si>
  <si>
    <t>ว. 1187</t>
  </si>
  <si>
    <t>ค่าจ้างเวรยาม/แม่บ้าน พิมพ์ดีด  ค.2</t>
  </si>
  <si>
    <t>12 มีค.62</t>
  </si>
  <si>
    <t>ไอ.170</t>
  </si>
  <si>
    <t>ค่าเช่าเน็ต กพ.62</t>
  </si>
  <si>
    <t>ไอ.171</t>
  </si>
  <si>
    <t>ไอ.172</t>
  </si>
  <si>
    <t>ค่าป้ายไวนิล/เลือกตั้ง ส.ส.</t>
  </si>
  <si>
    <t>ซ่อมรถ กฉ 1479</t>
  </si>
  <si>
    <t>ไอ.174</t>
  </si>
  <si>
    <t>ไอ.173</t>
  </si>
  <si>
    <t>ฎ.457</t>
  </si>
  <si>
    <t>ตกเบิก 2 ราย</t>
  </si>
  <si>
    <t>14 มีค.62</t>
  </si>
  <si>
    <t>ฎ.461</t>
  </si>
  <si>
    <t>ค่าเดินทาง ศน.ปัณณธร</t>
  </si>
  <si>
    <t>ฎ.460</t>
  </si>
  <si>
    <t>ฎ.462</t>
  </si>
  <si>
    <t>ค่าเดินทาง ส่งข้อสอบ</t>
  </si>
  <si>
    <t>ฎ.459</t>
  </si>
  <si>
    <t>ฎ.464</t>
  </si>
  <si>
    <t>ฎ.463</t>
  </si>
  <si>
    <t>มค+</t>
  </si>
  <si>
    <t>ไอ.164</t>
  </si>
  <si>
    <t>ไ.175</t>
  </si>
  <si>
    <t>ไอ.175</t>
  </si>
  <si>
    <t>ไอ.167</t>
  </si>
  <si>
    <t>ไอ.168</t>
  </si>
  <si>
    <t>งบ 30,000</t>
  </si>
  <si>
    <t>รร.อนุบาลหนองไผ่</t>
  </si>
  <si>
    <t>รร.อนุบาลวัดในเรืองศรีฯ</t>
  </si>
  <si>
    <t>รร.บ้าน กม.35</t>
  </si>
  <si>
    <t>รร.บ้าน กม.30</t>
  </si>
  <si>
    <t>รร.บ้านซับชมภู</t>
  </si>
  <si>
    <t>รร.บ้านนาสนุ่น</t>
  </si>
  <si>
    <t>ไอ.178</t>
  </si>
  <si>
    <t>ไอ.179</t>
  </si>
  <si>
    <t>18 มีค.62</t>
  </si>
  <si>
    <t>ฎ.466</t>
  </si>
  <si>
    <t>12 มีค62</t>
  </si>
  <si>
    <t>ไอ.169</t>
  </si>
  <si>
    <t>19 มค.61</t>
  </si>
  <si>
    <t>9 กพ.62</t>
  </si>
  <si>
    <t>19 มค.62</t>
  </si>
  <si>
    <t>ไม่เบิก(ใช้เอง)</t>
  </si>
  <si>
    <t>25 มีค.62</t>
  </si>
  <si>
    <t xml:space="preserve"> ว 1296</t>
  </si>
  <si>
    <t>ค่าเช่าบ้าน ครั้งที่ 2</t>
  </si>
  <si>
    <t>เบิกของ มีค.62</t>
  </si>
  <si>
    <t>21 มีค.62</t>
  </si>
  <si>
    <t>ฎ.482</t>
  </si>
  <si>
    <t>wv.182</t>
  </si>
  <si>
    <t>ไอ.183</t>
  </si>
  <si>
    <t>ฎ.474</t>
  </si>
  <si>
    <t>ค่าเดินทาง อนวัฒน์</t>
  </si>
  <si>
    <t>20 มีค.62</t>
  </si>
  <si>
    <t>ไอ.184</t>
  </si>
  <si>
    <t>ฎ.479</t>
  </si>
  <si>
    <t>20 มี,ค.62</t>
  </si>
  <si>
    <t>รร.บ้านนาเฉลียง</t>
  </si>
  <si>
    <t>ฎ.374+412+480</t>
  </si>
  <si>
    <t>ฎ.481</t>
  </si>
  <si>
    <t>21 มีค. 62</t>
  </si>
  <si>
    <t>ฎ.483</t>
  </si>
  <si>
    <t>28 มี่ต.62</t>
  </si>
  <si>
    <t>ว 1409</t>
  </si>
  <si>
    <t>ค่าจ้างครูวิทย์-คณิต   ครั้งที่ 2</t>
  </si>
  <si>
    <t>สมทบค่าจ้างครูวิทย์-คณิต   ครั้งที่ 2</t>
  </si>
  <si>
    <t>สมทบค่าจ้างเขต 9 ราย  ครั้งที่ 2</t>
  </si>
  <si>
    <t>ฎ.484</t>
  </si>
  <si>
    <t>ฎ.485</t>
  </si>
  <si>
    <t>22 มีค.62</t>
  </si>
  <si>
    <t>ฎ.487</t>
  </si>
  <si>
    <t>ฎ.488</t>
  </si>
  <si>
    <t>ไอ.188</t>
  </si>
  <si>
    <t>ไอ.189</t>
  </si>
  <si>
    <t>ไอ.190</t>
  </si>
  <si>
    <t>ฎ.494</t>
  </si>
  <si>
    <t>ฎ.493</t>
  </si>
  <si>
    <t>เงินยืม ประชา</t>
  </si>
  <si>
    <t>ฎ.495</t>
  </si>
  <si>
    <t>ค่าเดินทาง ศน.ปัณณธณ, เสาวภา</t>
  </si>
  <si>
    <t>ค่าน้ำดื่ม กพ.62</t>
  </si>
  <si>
    <t>ไอ.193</t>
  </si>
  <si>
    <t>ไอ.194</t>
  </si>
  <si>
    <t>ไอ.195</t>
  </si>
  <si>
    <t>ไอ.196</t>
  </si>
  <si>
    <t>ฎ.503</t>
  </si>
  <si>
    <t>เงินยืม ศน.อมรินทร์</t>
  </si>
  <si>
    <t>คชจ.ประชุม คนึง</t>
  </si>
  <si>
    <t>27 มีค.62</t>
  </si>
  <si>
    <t>ฎ.507</t>
  </si>
  <si>
    <t>ฎ.506</t>
  </si>
  <si>
    <t>ทีโอที  กพ.62</t>
  </si>
  <si>
    <t>ฎ.509</t>
  </si>
  <si>
    <t>ฎ.508</t>
  </si>
  <si>
    <t xml:space="preserve"> 7 เดือน</t>
  </si>
  <si>
    <t>28 มี่ค.62</t>
  </si>
  <si>
    <t>28 มีค.62</t>
  </si>
  <si>
    <t>ว. 1364</t>
  </si>
  <si>
    <t>โครงการเสริมสร้างคุณธรรม( ร.ร.สุจริต)</t>
  </si>
  <si>
    <t>ศน.สุปัญญา</t>
  </si>
  <si>
    <t>ว 1389</t>
  </si>
  <si>
    <t>งบป้องกันและแก้ไขปัญหายาเสพติด งวดที่ 2</t>
  </si>
  <si>
    <t>กิตติกาญจน์</t>
  </si>
  <si>
    <t>โครงการระบบประกันคุณภาพภายใน ปีกศ.2561</t>
  </si>
  <si>
    <t>รับงบประมาณบริหารฯ  ครั้งที่ 2  /300,000 บาท</t>
  </si>
  <si>
    <t xml:space="preserve">                           ยอดเหลือจากจัดสรร ค.1 </t>
  </si>
  <si>
    <t xml:space="preserve">                          ยอดเหลือจากจัดสรร ค.2</t>
  </si>
  <si>
    <t>การเช่าพื้นที่จัดเก็บเว็บไซต์ (Hosting)</t>
  </si>
  <si>
    <t>ฎ.511</t>
  </si>
  <si>
    <t>มีค.45000</t>
  </si>
  <si>
    <t>มีค.18000</t>
  </si>
  <si>
    <t>29 มีค.62</t>
  </si>
  <si>
    <t>ฎ.521</t>
  </si>
  <si>
    <t>ค่าเดินทางอภิรดี, จุทารัตน์</t>
  </si>
  <si>
    <t>29มีค.62</t>
  </si>
  <si>
    <t>ตัดไปเป็นค่าน้ำมันเชื้อเพลิง</t>
  </si>
  <si>
    <t>รับจากงบค่าซ่อมแอร์</t>
  </si>
  <si>
    <t>รับจากงบค่าซ่อมรถ</t>
  </si>
  <si>
    <t>ค่าเดินทาง ศน.สุปัญญา, เสาวภา,กัญจนา</t>
  </si>
  <si>
    <t>ฎ.522</t>
  </si>
  <si>
    <t>ไอ.199</t>
  </si>
  <si>
    <t>มค+กพ</t>
  </si>
  <si>
    <t>ฎ.297</t>
  </si>
  <si>
    <t>ไอ.207</t>
  </si>
  <si>
    <t>ไอ.208</t>
  </si>
  <si>
    <t>ไอ.192</t>
  </si>
  <si>
    <t>ค่าวัสดุประกันฯ</t>
  </si>
  <si>
    <t>ว. 1432</t>
  </si>
  <si>
    <t>ค่าเดินทางอบรมการใช้งาน/บำรุง อุปกรณ์ดาวเทียม</t>
  </si>
  <si>
    <t>ว. 1437</t>
  </si>
  <si>
    <t>เบิกของเดือน กพ.62</t>
  </si>
  <si>
    <t xml:space="preserve">ตัดไปเป็นค่าไปรษณีย์ </t>
  </si>
  <si>
    <t>รับมาจากค่าโทรศัพท์</t>
  </si>
  <si>
    <t>ฎ.458</t>
  </si>
  <si>
    <t>เบิก 9 ราย ของ กพ.62</t>
  </si>
  <si>
    <t>ฎ.505</t>
  </si>
  <si>
    <t>26 มีค.62</t>
  </si>
  <si>
    <t xml:space="preserve"> มีค. 62</t>
  </si>
  <si>
    <t>รับคืนเงินจากโรงเรียน</t>
  </si>
  <si>
    <t>ไม่ขอรับ</t>
  </si>
  <si>
    <t>การทดสอบความสามารถชองผู้เรียน RT</t>
  </si>
  <si>
    <t>การทดสอบความสามารถชองผู้เรียน NT</t>
  </si>
  <si>
    <t>ของบเพิ่ม 6 ด.</t>
  </si>
  <si>
    <t>(เมย.62 - กย.62)</t>
  </si>
  <si>
    <t>ตัดไปเป็นค่าถ่ายเอกสาร</t>
  </si>
  <si>
    <t>4 เมย.62</t>
  </si>
  <si>
    <t>ยอดเบิกจ่าย</t>
  </si>
  <si>
    <t>ของปี งปม.61</t>
  </si>
  <si>
    <t>ปี งปม.2562 ขอตั้งในงบ 1 ล้าน</t>
  </si>
  <si>
    <t xml:space="preserve">                    รวมสาธารณูฯ</t>
  </si>
  <si>
    <t>1 เมย.62</t>
  </si>
  <si>
    <t>ไอ.209</t>
  </si>
  <si>
    <t>ไอ.210</t>
  </si>
  <si>
    <t>ข้อมูล ณ  วันที่  18 เมษายน  2562</t>
  </si>
  <si>
    <t>ฎ.528</t>
  </si>
  <si>
    <t>3เมย.62</t>
  </si>
  <si>
    <t>ไอ.211</t>
  </si>
  <si>
    <t>ค่าเช่าพื้นที่</t>
  </si>
  <si>
    <t>กิจกรรม 5 ส. (วันสงกรานต์)</t>
  </si>
  <si>
    <t>3 เมย.62</t>
  </si>
  <si>
    <t>ฎ.545</t>
  </si>
  <si>
    <t>10 เมย.62</t>
  </si>
  <si>
    <t>ไอ.220</t>
  </si>
  <si>
    <t>ค่าน้ำดื่ม มีค.62</t>
  </si>
  <si>
    <t>ค่าเดินทาง ศน.สุปัญญา</t>
  </si>
  <si>
    <t>11 เมย.62</t>
  </si>
  <si>
    <t>ฎ.516</t>
  </si>
  <si>
    <t>17 เมย.62</t>
  </si>
  <si>
    <t>ไอ.227</t>
  </si>
  <si>
    <t>ป้ายไวนิล/สงกรานต์</t>
  </si>
  <si>
    <t>18 เมย.62</t>
  </si>
  <si>
    <t>รับจากค่าวัสดุ สนง./ซ่อมรถ</t>
  </si>
  <si>
    <t>เบิกค่าไฟฟ้า มีค.62</t>
  </si>
  <si>
    <t>ฎ.577</t>
  </si>
  <si>
    <t>รับจากงบบริหาร สนง.</t>
  </si>
  <si>
    <t>ฎ.575</t>
  </si>
  <si>
    <t>เบิกของเดือน มีค.62</t>
  </si>
  <si>
    <t>ฎ.576</t>
  </si>
  <si>
    <t>เบิกของเดือนมีค.62</t>
  </si>
  <si>
    <t>ค่าตอบแทนพนง.  ครั้งที่ 3 (3 ด.)</t>
  </si>
  <si>
    <t>22 เมย.62</t>
  </si>
  <si>
    <t>ว. 1534</t>
  </si>
  <si>
    <t>เบิกของ มีค.-เมย.62</t>
  </si>
  <si>
    <t>ฎ.580</t>
  </si>
  <si>
    <t xml:space="preserve"> ประกันสังคม พนง.ราชการ ค.3</t>
  </si>
  <si>
    <t>เงินสมทบ พนง.ราชการ ค.3</t>
  </si>
  <si>
    <t>ฎ.581</t>
  </si>
  <si>
    <t>ว 1657</t>
  </si>
  <si>
    <t>ว 1631</t>
  </si>
  <si>
    <t>เมย.-กย.62</t>
  </si>
  <si>
    <t>เมย.-มิย.62</t>
  </si>
  <si>
    <t>คชจ.ในการประชุม(กลุ่มการเงินฯ)</t>
  </si>
  <si>
    <t>ประชุม เร่งรัดงปม.งบลงทุน  7 มีค.62</t>
  </si>
  <si>
    <t>สุกันยา</t>
  </si>
  <si>
    <t>คชจ.ประชุมพัสดุ ธุรการ ร.ร.  11  พย.61</t>
  </si>
  <si>
    <t>ประชุมคณะกรรมการตรวจรับพัสดุ ร.ร. 22 มีค.62</t>
  </si>
  <si>
    <t>24 เมย.62</t>
  </si>
  <si>
    <t>ว.1700</t>
  </si>
  <si>
    <t>คงค้าง 2,593</t>
  </si>
  <si>
    <t>เงินสมทบของ ครูวิทย์ฯ (ธค.ธค.62)</t>
  </si>
  <si>
    <t>เบิกเงินสมทบ ปี2562 (ยอด 112,000)</t>
  </si>
  <si>
    <t xml:space="preserve">ตัดไปงบประจำสำนักงาน </t>
  </si>
  <si>
    <t>ค่าจ้างนักการ 3 ด. (เมย.-มิย.62)</t>
  </si>
  <si>
    <t>26 เมย.62</t>
  </si>
  <si>
    <t>ว 1745</t>
  </si>
  <si>
    <t>งบมาครั้งที่ 3</t>
  </si>
  <si>
    <t>ฎ.529</t>
  </si>
  <si>
    <t>ฎ.530</t>
  </si>
  <si>
    <t>ค่าเช่าเน็ต มีค.62</t>
  </si>
  <si>
    <t>ไอ.212</t>
  </si>
  <si>
    <t>รับจัดสรรงบ ครั้งที่ 2</t>
  </si>
  <si>
    <t>ไอ.213</t>
  </si>
  <si>
    <t>ซ่อมรถ ทร.1448</t>
  </si>
  <si>
    <t>ฎ.535</t>
  </si>
  <si>
    <t>ฎ.536</t>
  </si>
  <si>
    <t>ฎ.537</t>
  </si>
  <si>
    <t>ฎ.538</t>
  </si>
  <si>
    <t>ฎ.546</t>
  </si>
  <si>
    <t>ฎ.547</t>
  </si>
  <si>
    <t>ฎ.582</t>
  </si>
  <si>
    <t>ฎ.583</t>
  </si>
  <si>
    <t>ฎ.584</t>
  </si>
  <si>
    <t>ฎ.585</t>
  </si>
  <si>
    <t>ฎ.586</t>
  </si>
  <si>
    <t>ฎ.587</t>
  </si>
  <si>
    <t>ฎ.558</t>
  </si>
  <si>
    <t>ฎ.559</t>
  </si>
  <si>
    <t>ฎ.564</t>
  </si>
  <si>
    <t>ฎ.568</t>
  </si>
  <si>
    <t>เบิกค่าเดินทาง สุระศักดิ์</t>
  </si>
  <si>
    <t>ฎ.573</t>
  </si>
  <si>
    <t>ฎ.586+587</t>
  </si>
  <si>
    <t>23 เมย.62</t>
  </si>
  <si>
    <t>ฎ.589</t>
  </si>
  <si>
    <t>เบิกของ เมย.62</t>
  </si>
  <si>
    <t>ฎ.595</t>
  </si>
  <si>
    <t>ฎ.592</t>
  </si>
  <si>
    <t>ฎ.593</t>
  </si>
  <si>
    <t>ฎ.599</t>
  </si>
  <si>
    <t>ฎ.597</t>
  </si>
  <si>
    <t>ฎ.598</t>
  </si>
  <si>
    <t>เบิกของ 9 รร.</t>
  </si>
  <si>
    <t>ฎ.603</t>
  </si>
  <si>
    <t>ฎ.602</t>
  </si>
  <si>
    <t>ประชุม พุธเช้า</t>
  </si>
  <si>
    <t>ฎ.601</t>
  </si>
  <si>
    <t>คชจ.ประชุม KRS</t>
  </si>
  <si>
    <t>อนวัฒน์</t>
  </si>
  <si>
    <t>ฎ.600</t>
  </si>
  <si>
    <t>ทีโอที  มีค.62</t>
  </si>
  <si>
    <t>29 เมย.62</t>
  </si>
  <si>
    <t>ฎ.605</t>
  </si>
  <si>
    <t>รับงปม.เพิ่มเติม</t>
  </si>
  <si>
    <t>เงินยืม ประชุม ผอ.รร.  7 พค.62</t>
  </si>
  <si>
    <t>ฎ.607</t>
  </si>
  <si>
    <t>ฎ.563+606</t>
  </si>
  <si>
    <t>เบิกของ มีค.62/  27 ราย</t>
  </si>
  <si>
    <t>26เมย.62</t>
  </si>
  <si>
    <t>ไอ.236</t>
  </si>
  <si>
    <t>มค+กพ.</t>
  </si>
  <si>
    <t>กพ.</t>
  </si>
  <si>
    <t>I.140+204+224</t>
  </si>
  <si>
    <t xml:space="preserve">ณ  วันที่  30  เมษายน   2562             </t>
  </si>
  <si>
    <t>รร.บ้านกม.30</t>
  </si>
  <si>
    <t>รร.บ้านกม.35</t>
  </si>
  <si>
    <t>รร.บ้านวังโบสถ์</t>
  </si>
  <si>
    <t>รร.บ้านโคกคงสมโภขน์</t>
  </si>
  <si>
    <t>รร.บ้านท่าสวาย</t>
  </si>
  <si>
    <t>รร.วัดเขาเจริญธรรม</t>
  </si>
  <si>
    <t>รร.บ้านโคกสำราญ</t>
  </si>
  <si>
    <t>รร.บ้านหนองบัวขาว</t>
  </si>
  <si>
    <t>รร.บ้านวังใหญ่</t>
  </si>
  <si>
    <t>รร.ชุมชนพุเตย</t>
  </si>
  <si>
    <t>รร.บ้านบ่อรัง</t>
  </si>
  <si>
    <t>รร.บ้านหนองโป่ง</t>
  </si>
  <si>
    <t>รร.บ้านโคกสะแกลาด</t>
  </si>
  <si>
    <t>รร.ชุมชนโคกสะอาด</t>
  </si>
  <si>
    <t>รร.บ้านเกาะแก้ว</t>
  </si>
  <si>
    <t>รร.บ้านจัดสรร</t>
  </si>
  <si>
    <t>รร.บ้านนาตะกุด</t>
  </si>
  <si>
    <t>งบ 624000</t>
  </si>
  <si>
    <t>งบป้องกันแก้ไขปัญหายาเสพติด งวดที่ 1/ 86 รร.</t>
  </si>
  <si>
    <t>บ้านคลองทราบ</t>
  </si>
  <si>
    <t>บ้านลำนาราย</t>
  </si>
  <si>
    <t>อนุบาลวัดในเรืองศรีฯ</t>
  </si>
  <si>
    <t>บ้านบึงนราจาน</t>
  </si>
  <si>
    <t>ชุมชนบ้านโภขน์</t>
  </si>
  <si>
    <t>บ้านนาเฉลียง</t>
  </si>
  <si>
    <t>อนบาลหนองไผ่</t>
  </si>
  <si>
    <t>ถึง กย.62</t>
  </si>
  <si>
    <t>รับงบจาก ค่าวัสดุ/ เบิกของ มีค.62</t>
  </si>
  <si>
    <t>ฎ.543</t>
  </si>
  <si>
    <t>5 เมย.62</t>
  </si>
  <si>
    <t>ฎ.544</t>
  </si>
  <si>
    <t>ธุรการ มีค.62</t>
  </si>
  <si>
    <t>ฎ.542</t>
  </si>
  <si>
    <t>เบิก ของ มีค.62</t>
  </si>
  <si>
    <t>งบถึง กย.62</t>
  </si>
  <si>
    <t>ถึง มิย.62</t>
  </si>
  <si>
    <t>30 เมย.62</t>
  </si>
  <si>
    <t>ว 1806</t>
  </si>
  <si>
    <t>ค่าจ้าง ค.3 (เมย.-กย.62)</t>
  </si>
  <si>
    <t>ถึงกย.62</t>
  </si>
  <si>
    <t>ว. 1805</t>
  </si>
  <si>
    <t>ครูขั้นวิกฤต ค2 (เมย.-กย.62)</t>
  </si>
  <si>
    <t>เบิกเงิน /สัญญาจ้างทำข้อสอบ</t>
  </si>
  <si>
    <t>สุระศักด์</t>
  </si>
  <si>
    <t>เบิกค่าเดินทางไป พิษณุโลก 41 ราย</t>
  </si>
  <si>
    <t>โครงการเขตสุจริต</t>
  </si>
  <si>
    <t>ใช้ไป</t>
  </si>
  <si>
    <t>1 พค.62</t>
  </si>
  <si>
    <t>ว 1823</t>
  </si>
  <si>
    <t>ค่าจัดซื้อหนังสือสมเด็จพระเทพรัตนสุดาฯ</t>
  </si>
  <si>
    <t>ค่าจัดกิจกรรมฯ ในโครงการ</t>
  </si>
  <si>
    <t>ฎ.428</t>
  </si>
  <si>
    <t>เงินยืม ศน.ปิยะวรรณ์</t>
  </si>
  <si>
    <t>10 พค.62</t>
  </si>
  <si>
    <t>ว 1919</t>
  </si>
  <si>
    <t>ค่าตอบแทน ครั้งที่ 2 (พค-กย.62)</t>
  </si>
  <si>
    <t>3 พค.62</t>
  </si>
  <si>
    <t>ว. 1844</t>
  </si>
  <si>
    <t>ค่าจ้าง 70 ราย (เมย.-กย.62)</t>
  </si>
  <si>
    <t>ว. 1845</t>
  </si>
  <si>
    <t>ว. 1867</t>
  </si>
  <si>
    <t>7 พค.62</t>
  </si>
  <si>
    <t>ค่าจ้าง 8 ราย (เมย.-กย.62)</t>
  </si>
  <si>
    <t xml:space="preserve">ณ  วันที่  31  พฤษภาคม   2562             </t>
  </si>
  <si>
    <t>ว. 1879</t>
  </si>
  <si>
    <t>ค่าจ้าง 104 ราย (พค.-กค.62)</t>
  </si>
  <si>
    <t>3 เดือน</t>
  </si>
  <si>
    <t>ค่าจ้าง 7 ราย (พค.-กค.62)</t>
  </si>
  <si>
    <t>ศน.รังสิมา</t>
  </si>
  <si>
    <t>8 พค.62</t>
  </si>
  <si>
    <t>ว. 1887</t>
  </si>
  <si>
    <t>บ้านวิทย์ฯน้อย ระดับประถมฯ</t>
  </si>
  <si>
    <t>ค่าเดินทางประชุม หนังสือสมเด็จพระเทฯฯ</t>
  </si>
  <si>
    <t>อนุบาลวัดในเรืองศรีวิเชียรบุรี</t>
  </si>
  <si>
    <t>อนุบาลศรีเทพ(สว่างวัฒนา)</t>
  </si>
  <si>
    <t>บ้านคลองกะโบน</t>
  </si>
  <si>
    <t>บ้าน กม.30</t>
  </si>
  <si>
    <t xml:space="preserve">     เหลือจากจัดสรร</t>
  </si>
  <si>
    <t>2 พค.62</t>
  </si>
  <si>
    <t>ไอ.237</t>
  </si>
  <si>
    <t>ไอ.239</t>
  </si>
  <si>
    <t>ไอ.245</t>
  </si>
  <si>
    <t>เบิกซ่อมปริ้นเตอร์ (กลุ่มนิเทฯ)</t>
  </si>
  <si>
    <t>ไอ.241</t>
  </si>
  <si>
    <t>ค่าพวงมาลาวันศาลสมเด็จนเรศวร</t>
  </si>
  <si>
    <t>ไอ.243</t>
  </si>
  <si>
    <t>ไอ.242</t>
  </si>
  <si>
    <t>ค่าเช่าเน็ต เมย.62</t>
  </si>
  <si>
    <t>ไอ.247</t>
  </si>
  <si>
    <t>ไอ.248</t>
  </si>
  <si>
    <t>เบิกของ เมย..62</t>
  </si>
  <si>
    <t>เบิกค่าเดินทางส่งข้อสอบ</t>
  </si>
  <si>
    <t>ฎ.620</t>
  </si>
  <si>
    <t>ฎ.622</t>
  </si>
  <si>
    <t>เบิกเดือน เมย.62</t>
  </si>
  <si>
    <t>ฎ.618</t>
  </si>
  <si>
    <t>ค่าเดินทางครู 2 ราย</t>
  </si>
  <si>
    <t>ฎ.619</t>
  </si>
  <si>
    <t>ไอ.249</t>
  </si>
  <si>
    <t>เบิกของเดือน เมย.62</t>
  </si>
  <si>
    <t>ไอ.250</t>
  </si>
  <si>
    <t>เบิกค่าตรายาง กง.</t>
  </si>
  <si>
    <t>ฎ.626</t>
  </si>
  <si>
    <t>ค่าไฟเดือน เมย.62</t>
  </si>
  <si>
    <t>เบิกค่าประชุม พุธเช้า</t>
  </si>
  <si>
    <t>ฎ.628</t>
  </si>
  <si>
    <t>ฎ.629</t>
  </si>
  <si>
    <t>เงินยื ศน.สุปัญญา</t>
  </si>
  <si>
    <t>เบิกของ เมย./  93 ราย</t>
  </si>
  <si>
    <t>ฎ.633</t>
  </si>
  <si>
    <t>ฎ.636</t>
  </si>
  <si>
    <t>ค่าเก็บขยะ ตค-พย.61, กพ-มีค.62</t>
  </si>
  <si>
    <t>ฎ.637</t>
  </si>
  <si>
    <t>ค่าป้ายทะเบียนรถ 1448</t>
  </si>
  <si>
    <t>ค่าเดินทางกิตติกาญ</t>
  </si>
  <si>
    <t>ค่าเดินทางรองหมาย, กิตติกาญ</t>
  </si>
  <si>
    <t>ค่าจ้างพนง.ขับรถ มีค.62</t>
  </si>
  <si>
    <t>ฎ.639</t>
  </si>
  <si>
    <t>E.638</t>
  </si>
  <si>
    <t>13 พค.62</t>
  </si>
  <si>
    <t>ฎ.641</t>
  </si>
  <si>
    <t>ฎ.642</t>
  </si>
  <si>
    <t>เบิกประปาก เมย.62</t>
  </si>
  <si>
    <t>14 พค.62</t>
  </si>
  <si>
    <t>ไอ.258</t>
  </si>
  <si>
    <t>ค่าวัสดุพระราชพิธีบรมราชาพิเษก</t>
  </si>
  <si>
    <t>เบิกซ่อมปริ้นเตอร์ (กลุ่มการเงินฯ)</t>
  </si>
  <si>
    <t>เบิกซ่อมปริ้นเตอร์ (กลุ่มส่งเสริมฯ)</t>
  </si>
  <si>
    <t>ไอ.259</t>
  </si>
  <si>
    <t>ไอ.260</t>
  </si>
  <si>
    <t>ป้ายไวนิล/พระเจ้าอยู่หัว</t>
  </si>
  <si>
    <t>ไอ.261</t>
  </si>
  <si>
    <t>ค่าน้ำดื่ม เมย.62</t>
  </si>
  <si>
    <t>ไอ.262</t>
  </si>
  <si>
    <t>15 พค.62</t>
  </si>
  <si>
    <t>ว.1994</t>
  </si>
  <si>
    <t>ค่าหนังสือเรียน ปีการศึกษา 2561</t>
  </si>
  <si>
    <t>เบิกเงินให้ 155 ร.ร.</t>
  </si>
  <si>
    <t>ฎ.654</t>
  </si>
  <si>
    <t>เงินยืม ปัทมาภรณ์</t>
  </si>
  <si>
    <t>ฎ.655</t>
  </si>
  <si>
    <t>ฎ.656</t>
  </si>
  <si>
    <t>ฎ.657</t>
  </si>
  <si>
    <t>เบิกของ เมย./  11 ราย</t>
  </si>
  <si>
    <t>ฎ.658</t>
  </si>
  <si>
    <t>มค+กพ.มีค</t>
  </si>
  <si>
    <t>มค+กพ+มีค</t>
  </si>
  <si>
    <t>มค+กพ.+มีค</t>
  </si>
  <si>
    <t>กพ.+มึค</t>
  </si>
  <si>
    <t>ค่าพาหนะภาคเรียน 1/2562</t>
  </si>
  <si>
    <t>ว. 2157</t>
  </si>
  <si>
    <t>23 พค.62</t>
  </si>
  <si>
    <t>21 พค.62</t>
  </si>
  <si>
    <t>พาหนะประชุม การสอนพระพุทธศาสนาในโรงเรียน</t>
  </si>
  <si>
    <t>ฎ.669</t>
  </si>
  <si>
    <t>ค่าเดินทาง ศน.ลภัสลดา</t>
  </si>
  <si>
    <t>ฎ.670</t>
  </si>
  <si>
    <t>ฎ.672</t>
  </si>
  <si>
    <t>เบิกเดือน เม.ย.62</t>
  </si>
  <si>
    <t>ค่าเดินทาง ศน.ปิยะวรรณ์</t>
  </si>
  <si>
    <t>ไอ.264</t>
  </si>
  <si>
    <t>ฎ.673</t>
  </si>
  <si>
    <t>เบิกของ เมย./ 2 ราย</t>
  </si>
  <si>
    <t>เบิกเดือน พค.62</t>
  </si>
  <si>
    <t>ฎ.664</t>
  </si>
  <si>
    <t>ฎ.666</t>
  </si>
  <si>
    <t>ฎ.663</t>
  </si>
  <si>
    <t>ฎ.665</t>
  </si>
  <si>
    <t>เบิกของ พค.62</t>
  </si>
  <si>
    <t>23 พ.62</t>
  </si>
  <si>
    <t>ฎ.667</t>
  </si>
  <si>
    <t>ฎ.662</t>
  </si>
  <si>
    <t>เบิกของเดือน พค.62</t>
  </si>
  <si>
    <t>27 พค.62</t>
  </si>
  <si>
    <t>ไอ.270</t>
  </si>
  <si>
    <t>ค่าจ้างเหมารถ</t>
  </si>
  <si>
    <t>ค่าเดินทางกิตติกาญ, สุกันยา</t>
  </si>
  <si>
    <t>ฎ.674</t>
  </si>
  <si>
    <t>ฎ.676</t>
  </si>
  <si>
    <t>เงินยืม ค่าเดินทางสุกันยา</t>
  </si>
  <si>
    <t>เบิก พค.62</t>
  </si>
  <si>
    <t>ทีโอที  เมย.62</t>
  </si>
  <si>
    <t>ฎ.683</t>
  </si>
  <si>
    <t>ฎ.677</t>
  </si>
  <si>
    <t>ฎ.678</t>
  </si>
  <si>
    <t>ธค-กพ.+มีค</t>
  </si>
  <si>
    <t xml:space="preserve">ณ  วันที่  31 พฤษภาคม  2562              </t>
  </si>
  <si>
    <t>29 พค.62</t>
  </si>
  <si>
    <t>ว. 2235</t>
  </si>
  <si>
    <t>ค่าเดินทางร่วมงานนชุมนุมลูกเสือ จิตอาสา</t>
  </si>
  <si>
    <t>คืนเงินลูกจ้าง ลาออก ฎ.484</t>
  </si>
  <si>
    <t>คืนเงินยื ฎ.545</t>
  </si>
  <si>
    <t>17 พค.62</t>
  </si>
  <si>
    <t>คืนเงินลูกจ้างลาออก เมย.62</t>
  </si>
  <si>
    <t>คืนเงินลูกจ้างลาออก พค.62</t>
  </si>
  <si>
    <t>พนง.ลาออก พค.62</t>
  </si>
  <si>
    <t>คืนเงินยืม ฎ.503</t>
  </si>
  <si>
    <t>คืนเงินยืม (ศน.พัชรินท) ฎ.332</t>
  </si>
  <si>
    <t>คืนเงินยืม ปาริชาต ฎ.163</t>
  </si>
  <si>
    <t>คืนเงินยืม(รองหมาย) ฎ.260</t>
  </si>
  <si>
    <t>ไอ.272</t>
  </si>
  <si>
    <t>ฎ.686</t>
  </si>
  <si>
    <t>ค่าจ้าง เมย.-พค.</t>
  </si>
  <si>
    <t>ฎ.685</t>
  </si>
  <si>
    <t>ฎ.691</t>
  </si>
  <si>
    <t>ฎ.689+690</t>
  </si>
  <si>
    <t>ฎ.688</t>
  </si>
  <si>
    <t>ฎ.694</t>
  </si>
  <si>
    <t>ฎ.695</t>
  </si>
  <si>
    <t>ไอ.276</t>
  </si>
  <si>
    <t>30 พค.62</t>
  </si>
  <si>
    <t>ค่าวัสดุ รร.กม.35</t>
  </si>
  <si>
    <t>คชจ.ประชุมเลื่อนขั้น</t>
  </si>
  <si>
    <t>ฎ.693</t>
  </si>
  <si>
    <t>พนง.ลาออก ธค.61</t>
  </si>
  <si>
    <t>คืนเงินลาออก 1 ราย ธค.61</t>
  </si>
  <si>
    <t>นายธิเบต</t>
  </si>
  <si>
    <t>ฎ.660</t>
  </si>
  <si>
    <t>22 พค.62</t>
  </si>
  <si>
    <t xml:space="preserve">ณ  วันที่  31  พฤษภาคม   2562        </t>
  </si>
  <si>
    <t>ฎ.324</t>
  </si>
  <si>
    <t>คืนเงินยืม(รองสันติชัย) ฎ.324</t>
  </si>
  <si>
    <t>ฎ.433</t>
  </si>
  <si>
    <t>ค่าเดินทาง นางสุนันท์</t>
  </si>
  <si>
    <t>ฎ.698</t>
  </si>
  <si>
    <t>เบิกของ พ.ค...62</t>
  </si>
  <si>
    <t>ฎ.702</t>
  </si>
  <si>
    <t>31 พค.62</t>
  </si>
  <si>
    <t>ฎ.434</t>
  </si>
  <si>
    <t>รับ งปม. จัดทำวารสาร</t>
  </si>
  <si>
    <t>ฎ.435</t>
  </si>
  <si>
    <t>4 มิย.62</t>
  </si>
  <si>
    <t>ฎ.710</t>
  </si>
  <si>
    <t>ฎ.703</t>
  </si>
  <si>
    <t>ฎ.704</t>
  </si>
  <si>
    <t>ฎ.705</t>
  </si>
  <si>
    <t>ฎ.706</t>
  </si>
  <si>
    <t>วารสารประชาสัมพันธ์</t>
  </si>
  <si>
    <t>7 มิย.62</t>
  </si>
  <si>
    <t>ฎ.712</t>
  </si>
  <si>
    <t>เงินยืม สุนันท์ บัวเทศ</t>
  </si>
  <si>
    <t>ฎ.711</t>
  </si>
  <si>
    <t>ฎ.713</t>
  </si>
  <si>
    <t>ฎ.716</t>
  </si>
  <si>
    <t>10 มิย.62</t>
  </si>
  <si>
    <t>ไอ.300</t>
  </si>
  <si>
    <t>ไอ.288</t>
  </si>
  <si>
    <t>ไอ.289</t>
  </si>
  <si>
    <t>ไอ.290</t>
  </si>
  <si>
    <t>ไอ.292</t>
  </si>
  <si>
    <t>ไอ.293</t>
  </si>
  <si>
    <t>ไอ.294</t>
  </si>
  <si>
    <t>ไอ.295</t>
  </si>
  <si>
    <t>ไอ.296</t>
  </si>
  <si>
    <t>ไอ.297</t>
  </si>
  <si>
    <t>ไอ.298</t>
  </si>
  <si>
    <t>ฎ.715</t>
  </si>
  <si>
    <t>เบิกของ พค./ 62 ราย</t>
  </si>
  <si>
    <t>ณ  วันที่  31  พฤษภาคม  2562</t>
  </si>
  <si>
    <t>ณ  วันที่  31  พฤษภาคม   2562</t>
  </si>
  <si>
    <t>ณ  วันที่   31  พฤษภาคม  2562</t>
  </si>
  <si>
    <t xml:space="preserve">                       ณ  วันที่  31  พฤษภาคม   2562</t>
  </si>
  <si>
    <t>ซ่อมรถ นข.3689</t>
  </si>
  <si>
    <t>ไอ.287</t>
  </si>
  <si>
    <t>ฎ.707</t>
  </si>
  <si>
    <t>เงินยืม อนวัฒน์</t>
  </si>
  <si>
    <t>ฎ.708</t>
  </si>
  <si>
    <t>ค่าเช่าเน็ต พค.62</t>
  </si>
  <si>
    <t>ไอ.277</t>
  </si>
  <si>
    <t xml:space="preserve">ณ  วันที่  31  พฤาภาคม   2562             </t>
  </si>
  <si>
    <t xml:space="preserve">ณ  วันที่   31  พฤษภาคม   2562             </t>
  </si>
  <si>
    <t xml:space="preserve">ณ  วันที่  31   พฤษภาคม   2562             </t>
  </si>
  <si>
    <t xml:space="preserve">ณ  วันที่  31  พฤษภาคม   2562              </t>
  </si>
  <si>
    <t>ณ  วันที่  30  มิถุนายน   2562</t>
  </si>
  <si>
    <t>ค่าเดินทาง สุระศักดิ์</t>
  </si>
  <si>
    <t>ฎ.731</t>
  </si>
  <si>
    <t>ค่าเดินทาง คะนึง/ ศน.รังสิมา</t>
  </si>
  <si>
    <t>ฎ.747</t>
  </si>
  <si>
    <t>เบิกประปาก พค.62</t>
  </si>
  <si>
    <t>ฎ.746</t>
  </si>
  <si>
    <t>12 มิย.62</t>
  </si>
  <si>
    <t>ฎ.751</t>
  </si>
  <si>
    <t>ค่าตรายาง</t>
  </si>
  <si>
    <t>วัสดุสมเด็จพระบรมราชินี</t>
  </si>
  <si>
    <t>ไอ.308</t>
  </si>
  <si>
    <t>ไอ.309</t>
  </si>
  <si>
    <t>ไอ.311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</si>
</sst>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.00_ ;\-#,##0.00\ "/>
  </numFmts>
  <fonts count="43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sz val="12"/>
      <color rgb="FF7030A0"/>
      <name val="TH SarabunPSK"/>
      <family val="2"/>
    </font>
    <font>
      <b/>
      <sz val="14"/>
      <color rgb="FFFF0000"/>
      <name val="AngsanaUPC"/>
      <family val="1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4"/>
      <color rgb="FF7030A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3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9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1" fillId="0" borderId="1" xfId="0" applyFont="1" applyBorder="1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/>
    <xf numFmtId="0" fontId="11" fillId="0" borderId="0" xfId="0" applyFont="1"/>
    <xf numFmtId="0" fontId="10" fillId="0" borderId="0" xfId="0" applyFont="1"/>
    <xf numFmtId="43" fontId="9" fillId="0" borderId="0" xfId="1" applyFont="1"/>
    <xf numFmtId="43" fontId="0" fillId="0" borderId="0" xfId="0" applyNumberFormat="1"/>
    <xf numFmtId="43" fontId="8" fillId="0" borderId="0" xfId="1" applyFont="1"/>
    <xf numFmtId="0" fontId="1" fillId="0" borderId="0" xfId="0" applyFont="1"/>
    <xf numFmtId="0" fontId="14" fillId="0" borderId="0" xfId="0" applyFont="1"/>
    <xf numFmtId="0" fontId="6" fillId="0" borderId="8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2" fillId="0" borderId="12" xfId="2" applyFont="1" applyBorder="1"/>
    <xf numFmtId="187" fontId="12" fillId="0" borderId="13" xfId="2" applyFont="1" applyBorder="1"/>
    <xf numFmtId="188" fontId="0" fillId="0" borderId="0" xfId="1" applyNumberFormat="1" applyFont="1"/>
    <xf numFmtId="43" fontId="14" fillId="0" borderId="6" xfId="1" applyFont="1" applyBorder="1"/>
    <xf numFmtId="188" fontId="8" fillId="0" borderId="0" xfId="1" applyNumberFormat="1" applyFont="1"/>
    <xf numFmtId="0" fontId="9" fillId="0" borderId="0" xfId="0" applyFont="1" applyBorder="1"/>
    <xf numFmtId="43" fontId="9" fillId="0" borderId="0" xfId="0" applyNumberFormat="1" applyFont="1" applyBorder="1"/>
    <xf numFmtId="188" fontId="6" fillId="0" borderId="3" xfId="1" applyNumberFormat="1" applyFont="1" applyBorder="1"/>
    <xf numFmtId="188" fontId="6" fillId="0" borderId="6" xfId="1" applyNumberFormat="1" applyFont="1" applyBorder="1"/>
    <xf numFmtId="188" fontId="0" fillId="0" borderId="0" xfId="1" applyNumberFormat="1" applyFont="1" applyBorder="1"/>
    <xf numFmtId="0" fontId="16" fillId="0" borderId="16" xfId="3" applyFont="1" applyBorder="1"/>
    <xf numFmtId="43" fontId="6" fillId="0" borderId="0" xfId="0" applyNumberFormat="1" applyFont="1"/>
    <xf numFmtId="0" fontId="16" fillId="0" borderId="7" xfId="0" applyFont="1" applyBorder="1"/>
    <xf numFmtId="0" fontId="6" fillId="0" borderId="0" xfId="0" applyFont="1" applyBorder="1" applyAlignment="1">
      <alignment horizontal="center"/>
    </xf>
    <xf numFmtId="188" fontId="0" fillId="0" borderId="0" xfId="0" applyNumberFormat="1"/>
    <xf numFmtId="188" fontId="14" fillId="0" borderId="2" xfId="0" applyNumberFormat="1" applyFont="1" applyBorder="1"/>
    <xf numFmtId="188" fontId="8" fillId="0" borderId="0" xfId="1" applyNumberFormat="1" applyFont="1" applyFill="1" applyBorder="1"/>
    <xf numFmtId="188" fontId="6" fillId="0" borderId="7" xfId="1" applyNumberFormat="1" applyFont="1" applyBorder="1"/>
    <xf numFmtId="188" fontId="14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9" fillId="0" borderId="0" xfId="1" applyFont="1" applyBorder="1"/>
    <xf numFmtId="0" fontId="0" fillId="0" borderId="0" xfId="0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43" fontId="17" fillId="0" borderId="0" xfId="1" applyFont="1" applyBorder="1" applyAlignment="1">
      <alignment horizontal="center"/>
    </xf>
    <xf numFmtId="188" fontId="6" fillId="0" borderId="0" xfId="1" applyNumberFormat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4" fillId="0" borderId="0" xfId="0" applyNumberFormat="1" applyFont="1" applyBorder="1"/>
    <xf numFmtId="2" fontId="6" fillId="0" borderId="0" xfId="0" applyNumberFormat="1" applyFont="1" applyBorder="1"/>
    <xf numFmtId="43" fontId="18" fillId="0" borderId="0" xfId="1" applyFont="1"/>
    <xf numFmtId="43" fontId="12" fillId="0" borderId="3" xfId="1" applyFont="1" applyBorder="1"/>
    <xf numFmtId="43" fontId="0" fillId="0" borderId="0" xfId="1" applyFont="1" applyFill="1" applyBorder="1"/>
    <xf numFmtId="0" fontId="15" fillId="0" borderId="0" xfId="3" applyFont="1" applyAlignment="1"/>
    <xf numFmtId="0" fontId="15" fillId="0" borderId="13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187" fontId="19" fillId="0" borderId="3" xfId="2" applyFont="1" applyBorder="1" applyAlignment="1">
      <alignment horizontal="center"/>
    </xf>
    <xf numFmtId="0" fontId="15" fillId="0" borderId="5" xfId="3" applyFont="1" applyBorder="1" applyAlignment="1"/>
    <xf numFmtId="0" fontId="15" fillId="0" borderId="4" xfId="3" applyFont="1" applyBorder="1" applyAlignment="1"/>
    <xf numFmtId="187" fontId="19" fillId="0" borderId="4" xfId="2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20" fillId="0" borderId="16" xfId="3" applyFont="1" applyBorder="1"/>
    <xf numFmtId="0" fontId="21" fillId="0" borderId="16" xfId="3" applyFont="1" applyBorder="1"/>
    <xf numFmtId="187" fontId="12" fillId="0" borderId="6" xfId="2" applyFont="1" applyBorder="1"/>
    <xf numFmtId="0" fontId="22" fillId="0" borderId="16" xfId="3" applyFont="1" applyBorder="1"/>
    <xf numFmtId="0" fontId="14" fillId="0" borderId="6" xfId="3" applyFont="1" applyBorder="1"/>
    <xf numFmtId="0" fontId="16" fillId="0" borderId="19" xfId="3" applyFont="1" applyBorder="1"/>
    <xf numFmtId="0" fontId="22" fillId="0" borderId="0" xfId="3" applyFont="1" applyAlignment="1"/>
    <xf numFmtId="0" fontId="16" fillId="0" borderId="0" xfId="0" applyFont="1"/>
    <xf numFmtId="0" fontId="16" fillId="0" borderId="0" xfId="3" applyFont="1" applyAlignment="1"/>
    <xf numFmtId="0" fontId="22" fillId="0" borderId="13" xfId="3" applyFont="1" applyBorder="1" applyAlignment="1">
      <alignment horizontal="center"/>
    </xf>
    <xf numFmtId="0" fontId="22" fillId="0" borderId="3" xfId="3" applyFont="1" applyBorder="1" applyAlignment="1">
      <alignment horizontal="center"/>
    </xf>
    <xf numFmtId="187" fontId="24" fillId="0" borderId="3" xfId="2" applyFont="1" applyBorder="1" applyAlignment="1">
      <alignment horizontal="center"/>
    </xf>
    <xf numFmtId="187" fontId="22" fillId="0" borderId="3" xfId="2" applyFont="1" applyBorder="1" applyAlignment="1">
      <alignment horizontal="center"/>
    </xf>
    <xf numFmtId="0" fontId="22" fillId="0" borderId="5" xfId="3" applyFont="1" applyBorder="1" applyAlignment="1"/>
    <xf numFmtId="0" fontId="22" fillId="0" borderId="4" xfId="3" applyFont="1" applyBorder="1" applyAlignment="1"/>
    <xf numFmtId="187" fontId="24" fillId="0" borderId="4" xfId="2" applyFont="1" applyBorder="1" applyAlignment="1">
      <alignment horizontal="center"/>
    </xf>
    <xf numFmtId="187" fontId="22" fillId="0" borderId="4" xfId="2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0" borderId="16" xfId="3" applyFont="1" applyBorder="1" applyAlignment="1">
      <alignment horizontal="center"/>
    </xf>
    <xf numFmtId="187" fontId="25" fillId="0" borderId="6" xfId="2" applyFont="1" applyBorder="1"/>
    <xf numFmtId="187" fontId="16" fillId="0" borderId="6" xfId="2" applyFont="1" applyBorder="1"/>
    <xf numFmtId="187" fontId="25" fillId="0" borderId="10" xfId="2" applyFont="1" applyBorder="1"/>
    <xf numFmtId="0" fontId="16" fillId="0" borderId="6" xfId="3" applyFont="1" applyBorder="1"/>
    <xf numFmtId="0" fontId="16" fillId="0" borderId="10" xfId="3" applyFont="1" applyBorder="1" applyAlignment="1">
      <alignment horizontal="center"/>
    </xf>
    <xf numFmtId="0" fontId="16" fillId="0" borderId="10" xfId="3" applyFont="1" applyBorder="1"/>
    <xf numFmtId="0" fontId="16" fillId="0" borderId="19" xfId="3" applyFont="1" applyBorder="1" applyAlignment="1">
      <alignment horizontal="center"/>
    </xf>
    <xf numFmtId="187" fontId="16" fillId="0" borderId="10" xfId="2" applyFont="1" applyBorder="1"/>
    <xf numFmtId="187" fontId="25" fillId="0" borderId="2" xfId="2" applyFont="1" applyBorder="1"/>
    <xf numFmtId="0" fontId="16" fillId="0" borderId="2" xfId="3" applyFont="1" applyBorder="1"/>
    <xf numFmtId="0" fontId="26" fillId="0" borderId="0" xfId="3" applyFont="1" applyAlignment="1"/>
    <xf numFmtId="0" fontId="26" fillId="0" borderId="13" xfId="3" applyFont="1" applyBorder="1" applyAlignment="1">
      <alignment horizontal="center"/>
    </xf>
    <xf numFmtId="187" fontId="19" fillId="2" borderId="3" xfId="2" applyFont="1" applyFill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26" fillId="0" borderId="5" xfId="3" applyFont="1" applyBorder="1" applyAlignment="1"/>
    <xf numFmtId="187" fontId="19" fillId="2" borderId="4" xfId="2" applyFont="1" applyFill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6" xfId="3" applyFont="1" applyBorder="1" applyAlignment="1">
      <alignment horizontal="center"/>
    </xf>
    <xf numFmtId="188" fontId="12" fillId="0" borderId="6" xfId="1" applyNumberFormat="1" applyFont="1" applyBorder="1"/>
    <xf numFmtId="189" fontId="12" fillId="0" borderId="6" xfId="2" applyNumberFormat="1" applyFont="1" applyBorder="1"/>
    <xf numFmtId="0" fontId="14" fillId="0" borderId="6" xfId="3" quotePrefix="1" applyFont="1" applyBorder="1"/>
    <xf numFmtId="0" fontId="16" fillId="0" borderId="7" xfId="3" applyFont="1" applyBorder="1"/>
    <xf numFmtId="43" fontId="13" fillId="0" borderId="0" xfId="1" applyFont="1"/>
    <xf numFmtId="0" fontId="14" fillId="0" borderId="12" xfId="3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16" fillId="0" borderId="18" xfId="3" applyFont="1" applyBorder="1"/>
    <xf numFmtId="0" fontId="14" fillId="0" borderId="12" xfId="3" applyFont="1" applyBorder="1"/>
    <xf numFmtId="0" fontId="14" fillId="0" borderId="20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22" fillId="0" borderId="21" xfId="3" applyFont="1" applyBorder="1"/>
    <xf numFmtId="187" fontId="25" fillId="0" borderId="20" xfId="2" applyNumberFormat="1" applyFont="1" applyBorder="1"/>
    <xf numFmtId="0" fontId="14" fillId="0" borderId="20" xfId="3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188" fontId="13" fillId="0" borderId="0" xfId="1" applyNumberFormat="1" applyFont="1" applyBorder="1"/>
    <xf numFmtId="188" fontId="13" fillId="0" borderId="0" xfId="1" applyNumberFormat="1" applyFont="1"/>
    <xf numFmtId="0" fontId="14" fillId="0" borderId="0" xfId="0" applyFont="1" applyBorder="1"/>
    <xf numFmtId="188" fontId="14" fillId="0" borderId="0" xfId="1" applyNumberFormat="1" applyFont="1" applyBorder="1"/>
    <xf numFmtId="188" fontId="13" fillId="0" borderId="15" xfId="1" applyNumberFormat="1" applyFont="1" applyBorder="1"/>
    <xf numFmtId="188" fontId="13" fillId="0" borderId="0" xfId="0" applyNumberFormat="1" applyFont="1" applyBorder="1"/>
    <xf numFmtId="188" fontId="13" fillId="0" borderId="0" xfId="0" applyNumberFormat="1" applyFont="1"/>
    <xf numFmtId="0" fontId="30" fillId="0" borderId="6" xfId="3" applyFont="1" applyBorder="1"/>
    <xf numFmtId="0" fontId="22" fillId="0" borderId="14" xfId="3" applyFont="1" applyBorder="1" applyAlignment="1">
      <alignment horizontal="center"/>
    </xf>
    <xf numFmtId="43" fontId="16" fillId="0" borderId="0" xfId="1" applyFont="1"/>
    <xf numFmtId="15" fontId="16" fillId="0" borderId="6" xfId="3" applyNumberFormat="1" applyFont="1" applyBorder="1" applyAlignment="1">
      <alignment horizontal="center"/>
    </xf>
    <xf numFmtId="189" fontId="25" fillId="0" borderId="6" xfId="2" applyNumberFormat="1" applyFont="1" applyBorder="1"/>
    <xf numFmtId="189" fontId="16" fillId="0" borderId="6" xfId="2" applyNumberFormat="1" applyFont="1" applyBorder="1"/>
    <xf numFmtId="189" fontId="25" fillId="0" borderId="10" xfId="2" applyNumberFormat="1" applyFont="1" applyBorder="1"/>
    <xf numFmtId="188" fontId="16" fillId="0" borderId="0" xfId="1" applyNumberFormat="1" applyFont="1"/>
    <xf numFmtId="0" fontId="16" fillId="0" borderId="0" xfId="0" applyFont="1" applyBorder="1"/>
    <xf numFmtId="43" fontId="16" fillId="0" borderId="0" xfId="1" applyFont="1" applyBorder="1"/>
    <xf numFmtId="188" fontId="16" fillId="0" borderId="0" xfId="1" applyNumberFormat="1" applyFont="1" applyBorder="1"/>
    <xf numFmtId="187" fontId="25" fillId="0" borderId="12" xfId="2" applyFont="1" applyBorder="1"/>
    <xf numFmtId="187" fontId="16" fillId="0" borderId="12" xfId="2" applyFont="1" applyBorder="1"/>
    <xf numFmtId="0" fontId="16" fillId="0" borderId="14" xfId="3" applyFont="1" applyBorder="1" applyAlignment="1">
      <alignment horizontal="center"/>
    </xf>
    <xf numFmtId="187" fontId="24" fillId="0" borderId="20" xfId="2" applyFont="1" applyBorder="1"/>
    <xf numFmtId="0" fontId="16" fillId="0" borderId="0" xfId="3" applyFont="1" applyBorder="1" applyAlignment="1">
      <alignment horizontal="center"/>
    </xf>
    <xf numFmtId="43" fontId="16" fillId="0" borderId="0" xfId="0" applyNumberFormat="1" applyFont="1" applyBorder="1"/>
    <xf numFmtId="0" fontId="16" fillId="0" borderId="0" xfId="0" applyFont="1" applyAlignment="1">
      <alignment horizontal="center"/>
    </xf>
    <xf numFmtId="43" fontId="25" fillId="0" borderId="10" xfId="1" applyFont="1" applyBorder="1"/>
    <xf numFmtId="43" fontId="16" fillId="0" borderId="6" xfId="1" applyFont="1" applyBorder="1"/>
    <xf numFmtId="0" fontId="16" fillId="0" borderId="9" xfId="3" applyFont="1" applyBorder="1"/>
    <xf numFmtId="0" fontId="16" fillId="0" borderId="0" xfId="3" applyFont="1"/>
    <xf numFmtId="0" fontId="25" fillId="0" borderId="0" xfId="3" applyFont="1"/>
    <xf numFmtId="0" fontId="22" fillId="0" borderId="3" xfId="3" applyFont="1" applyBorder="1" applyAlignment="1"/>
    <xf numFmtId="0" fontId="16" fillId="0" borderId="16" xfId="3" applyFont="1" applyBorder="1" applyAlignment="1">
      <alignment horizontal="left"/>
    </xf>
    <xf numFmtId="0" fontId="16" fillId="0" borderId="0" xfId="0" applyFont="1" applyAlignment="1">
      <alignment horizontal="right"/>
    </xf>
    <xf numFmtId="0" fontId="22" fillId="0" borderId="13" xfId="3" applyFont="1" applyBorder="1" applyAlignment="1"/>
    <xf numFmtId="0" fontId="16" fillId="0" borderId="3" xfId="3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22" fillId="0" borderId="16" xfId="3" applyFont="1" applyBorder="1" applyAlignment="1">
      <alignment horizontal="center"/>
    </xf>
    <xf numFmtId="0" fontId="16" fillId="0" borderId="22" xfId="3" applyFont="1" applyBorder="1" applyAlignment="1">
      <alignment horizontal="center"/>
    </xf>
    <xf numFmtId="187" fontId="22" fillId="0" borderId="20" xfId="2" applyFont="1" applyBorder="1"/>
    <xf numFmtId="189" fontId="22" fillId="0" borderId="20" xfId="2" applyNumberFormat="1" applyFont="1" applyBorder="1"/>
    <xf numFmtId="0" fontId="16" fillId="0" borderId="14" xfId="3" applyFont="1" applyBorder="1"/>
    <xf numFmtId="43" fontId="16" fillId="0" borderId="0" xfId="0" applyNumberFormat="1" applyFont="1"/>
    <xf numFmtId="2" fontId="16" fillId="0" borderId="0" xfId="0" applyNumberFormat="1" applyFont="1"/>
    <xf numFmtId="43" fontId="16" fillId="0" borderId="0" xfId="1" applyFont="1" applyAlignment="1">
      <alignment horizontal="right"/>
    </xf>
    <xf numFmtId="43" fontId="16" fillId="0" borderId="0" xfId="0" applyNumberFormat="1" applyFont="1" applyAlignment="1">
      <alignment horizontal="right"/>
    </xf>
    <xf numFmtId="43" fontId="16" fillId="0" borderId="23" xfId="0" applyNumberFormat="1" applyFont="1" applyBorder="1"/>
    <xf numFmtId="0" fontId="22" fillId="0" borderId="0" xfId="3" applyFont="1"/>
    <xf numFmtId="189" fontId="24" fillId="0" borderId="20" xfId="2" applyNumberFormat="1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3" fontId="31" fillId="0" borderId="0" xfId="0" applyNumberFormat="1" applyFont="1"/>
    <xf numFmtId="188" fontId="16" fillId="0" borderId="0" xfId="0" applyNumberFormat="1" applyFont="1" applyBorder="1"/>
    <xf numFmtId="0" fontId="16" fillId="0" borderId="0" xfId="3" applyFont="1" applyBorder="1"/>
    <xf numFmtId="0" fontId="22" fillId="0" borderId="6" xfId="3" applyFont="1" applyBorder="1" applyAlignment="1">
      <alignment horizontal="center"/>
    </xf>
    <xf numFmtId="0" fontId="22" fillId="0" borderId="0" xfId="0" applyFont="1"/>
    <xf numFmtId="187" fontId="31" fillId="0" borderId="10" xfId="2" applyFont="1" applyBorder="1"/>
    <xf numFmtId="0" fontId="26" fillId="0" borderId="13" xfId="3" applyFont="1" applyBorder="1" applyAlignment="1"/>
    <xf numFmtId="15" fontId="14" fillId="0" borderId="6" xfId="3" applyNumberFormat="1" applyFont="1" applyBorder="1" applyAlignment="1">
      <alignment horizontal="center"/>
    </xf>
    <xf numFmtId="187" fontId="27" fillId="0" borderId="20" xfId="2" applyFont="1" applyBorder="1"/>
    <xf numFmtId="0" fontId="22" fillId="0" borderId="0" xfId="3" applyFont="1" applyAlignment="1">
      <alignment horizontal="left"/>
    </xf>
    <xf numFmtId="43" fontId="3" fillId="0" borderId="0" xfId="1" applyFont="1"/>
    <xf numFmtId="187" fontId="16" fillId="0" borderId="9" xfId="2" applyFont="1" applyBorder="1"/>
    <xf numFmtId="187" fontId="16" fillId="0" borderId="2" xfId="2" applyFont="1" applyBorder="1"/>
    <xf numFmtId="43" fontId="25" fillId="0" borderId="6" xfId="1" applyFont="1" applyBorder="1"/>
    <xf numFmtId="43" fontId="14" fillId="0" borderId="2" xfId="1" applyFont="1" applyBorder="1"/>
    <xf numFmtId="43" fontId="7" fillId="0" borderId="0" xfId="1" applyFont="1" applyBorder="1"/>
    <xf numFmtId="0" fontId="1" fillId="0" borderId="0" xfId="0" applyFont="1" applyAlignment="1">
      <alignment horizontal="center"/>
    </xf>
    <xf numFmtId="0" fontId="14" fillId="0" borderId="16" xfId="3" applyFont="1" applyBorder="1"/>
    <xf numFmtId="0" fontId="14" fillId="0" borderId="19" xfId="3" applyFont="1" applyBorder="1"/>
    <xf numFmtId="0" fontId="28" fillId="0" borderId="9" xfId="3" applyFont="1" applyBorder="1"/>
    <xf numFmtId="43" fontId="14" fillId="0" borderId="17" xfId="0" applyNumberFormat="1" applyFont="1" applyBorder="1"/>
    <xf numFmtId="0" fontId="14" fillId="0" borderId="10" xfId="3" applyFont="1" applyBorder="1"/>
    <xf numFmtId="43" fontId="16" fillId="0" borderId="17" xfId="0" applyNumberFormat="1" applyFont="1" applyBorder="1"/>
    <xf numFmtId="0" fontId="32" fillId="0" borderId="6" xfId="3" applyFont="1" applyBorder="1"/>
    <xf numFmtId="189" fontId="27" fillId="0" borderId="20" xfId="2" applyNumberFormat="1" applyFont="1" applyBorder="1"/>
    <xf numFmtId="189" fontId="23" fillId="0" borderId="6" xfId="2" applyNumberFormat="1" applyFont="1" applyBorder="1"/>
    <xf numFmtId="0" fontId="16" fillId="0" borderId="11" xfId="3" applyFont="1" applyBorder="1"/>
    <xf numFmtId="43" fontId="33" fillId="0" borderId="0" xfId="1" applyFont="1"/>
    <xf numFmtId="2" fontId="6" fillId="0" borderId="6" xfId="0" applyNumberFormat="1" applyFont="1" applyBorder="1" applyAlignment="1">
      <alignment horizontal="right"/>
    </xf>
    <xf numFmtId="188" fontId="22" fillId="0" borderId="0" xfId="1" applyNumberFormat="1" applyFont="1"/>
    <xf numFmtId="189" fontId="23" fillId="0" borderId="10" xfId="2" applyNumberFormat="1" applyFont="1" applyBorder="1"/>
    <xf numFmtId="0" fontId="16" fillId="0" borderId="4" xfId="0" applyFont="1" applyBorder="1" applyAlignment="1">
      <alignment horizontal="center"/>
    </xf>
    <xf numFmtId="2" fontId="28" fillId="0" borderId="6" xfId="0" applyNumberFormat="1" applyFont="1" applyBorder="1"/>
    <xf numFmtId="2" fontId="14" fillId="0" borderId="6" xfId="0" applyNumberFormat="1" applyFont="1" applyBorder="1"/>
    <xf numFmtId="0" fontId="14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88" fontId="6" fillId="0" borderId="2" xfId="0" applyNumberFormat="1" applyFont="1" applyBorder="1"/>
    <xf numFmtId="188" fontId="12" fillId="0" borderId="3" xfId="1" applyNumberFormat="1" applyFont="1" applyBorder="1"/>
    <xf numFmtId="0" fontId="1" fillId="0" borderId="0" xfId="0" applyFont="1" applyBorder="1"/>
    <xf numFmtId="188" fontId="31" fillId="0" borderId="6" xfId="1" applyNumberFormat="1" applyFont="1" applyBorder="1"/>
    <xf numFmtId="187" fontId="25" fillId="0" borderId="20" xfId="2" applyFont="1" applyBorder="1"/>
    <xf numFmtId="188" fontId="16" fillId="0" borderId="6" xfId="1" applyNumberFormat="1" applyFont="1" applyBorder="1"/>
    <xf numFmtId="0" fontId="22" fillId="0" borderId="0" xfId="3" applyFont="1" applyAlignment="1">
      <alignment horizontal="right"/>
    </xf>
    <xf numFmtId="43" fontId="16" fillId="0" borderId="0" xfId="1" applyFont="1" applyBorder="1" applyAlignment="1">
      <alignment horizontal="right"/>
    </xf>
    <xf numFmtId="0" fontId="16" fillId="0" borderId="16" xfId="3" applyFont="1" applyBorder="1" applyAlignment="1"/>
    <xf numFmtId="0" fontId="6" fillId="0" borderId="0" xfId="3" applyFont="1" applyAlignment="1"/>
    <xf numFmtId="0" fontId="22" fillId="0" borderId="16" xfId="3" applyFont="1" applyBorder="1" applyAlignment="1">
      <alignment horizontal="left"/>
    </xf>
    <xf numFmtId="43" fontId="6" fillId="0" borderId="0" xfId="0" applyNumberFormat="1" applyFont="1" applyAlignment="1">
      <alignment horizontal="center"/>
    </xf>
    <xf numFmtId="0" fontId="34" fillId="0" borderId="16" xfId="3" applyFont="1" applyBorder="1"/>
    <xf numFmtId="0" fontId="6" fillId="0" borderId="16" xfId="3" applyFont="1" applyBorder="1"/>
    <xf numFmtId="0" fontId="6" fillId="0" borderId="19" xfId="3" applyFont="1" applyBorder="1"/>
    <xf numFmtId="0" fontId="15" fillId="0" borderId="14" xfId="3" applyFont="1" applyBorder="1" applyAlignment="1">
      <alignment horizontal="center"/>
    </xf>
    <xf numFmtId="0" fontId="35" fillId="0" borderId="6" xfId="0" applyFont="1" applyBorder="1" applyAlignment="1">
      <alignment horizontal="left"/>
    </xf>
    <xf numFmtId="0" fontId="36" fillId="0" borderId="6" xfId="0" applyFont="1" applyBorder="1"/>
    <xf numFmtId="0" fontId="37" fillId="0" borderId="6" xfId="0" applyFont="1" applyBorder="1" applyAlignment="1">
      <alignment horizontal="left"/>
    </xf>
    <xf numFmtId="187" fontId="31" fillId="0" borderId="6" xfId="2" applyFont="1" applyBorder="1"/>
    <xf numFmtId="0" fontId="38" fillId="0" borderId="6" xfId="0" applyFont="1" applyBorder="1"/>
    <xf numFmtId="0" fontId="39" fillId="0" borderId="6" xfId="0" applyFont="1" applyBorder="1"/>
    <xf numFmtId="0" fontId="40" fillId="0" borderId="6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15" fillId="0" borderId="0" xfId="3" applyFont="1"/>
    <xf numFmtId="0" fontId="40" fillId="0" borderId="6" xfId="0" applyFont="1" applyBorder="1"/>
    <xf numFmtId="0" fontId="16" fillId="0" borderId="18" xfId="3" applyFont="1" applyBorder="1" applyAlignment="1">
      <alignment horizontal="center"/>
    </xf>
    <xf numFmtId="0" fontId="16" fillId="0" borderId="21" xfId="3" applyFont="1" applyBorder="1" applyAlignment="1">
      <alignment horizontal="center"/>
    </xf>
    <xf numFmtId="43" fontId="13" fillId="0" borderId="0" xfId="0" applyNumberFormat="1" applyFont="1" applyAlignment="1">
      <alignment horizontal="center"/>
    </xf>
    <xf numFmtId="0" fontId="22" fillId="0" borderId="6" xfId="3" applyFont="1" applyBorder="1"/>
    <xf numFmtId="0" fontId="31" fillId="0" borderId="6" xfId="3" applyFont="1" applyBorder="1"/>
    <xf numFmtId="0" fontId="22" fillId="0" borderId="20" xfId="3" applyFont="1" applyBorder="1"/>
    <xf numFmtId="187" fontId="25" fillId="0" borderId="21" xfId="2" applyNumberFormat="1" applyFont="1" applyBorder="1"/>
    <xf numFmtId="188" fontId="12" fillId="0" borderId="0" xfId="1" applyNumberFormat="1" applyFont="1" applyBorder="1"/>
    <xf numFmtId="187" fontId="12" fillId="0" borderId="0" xfId="2" applyFont="1" applyBorder="1"/>
    <xf numFmtId="0" fontId="14" fillId="0" borderId="0" xfId="3" applyFont="1" applyBorder="1" applyAlignment="1">
      <alignment horizontal="center"/>
    </xf>
    <xf numFmtId="0" fontId="22" fillId="0" borderId="0" xfId="3" applyFont="1" applyBorder="1"/>
    <xf numFmtId="187" fontId="25" fillId="0" borderId="0" xfId="2" applyNumberFormat="1" applyFont="1" applyBorder="1"/>
    <xf numFmtId="0" fontId="13" fillId="0" borderId="0" xfId="0" applyFont="1" applyBorder="1" applyAlignment="1">
      <alignment horizontal="center"/>
    </xf>
    <xf numFmtId="187" fontId="16" fillId="0" borderId="6" xfId="2" applyNumberFormat="1" applyFont="1" applyBorder="1"/>
    <xf numFmtId="187" fontId="24" fillId="0" borderId="10" xfId="2" applyFont="1" applyBorder="1"/>
    <xf numFmtId="0" fontId="22" fillId="0" borderId="25" xfId="3" applyFont="1" applyBorder="1"/>
    <xf numFmtId="0" fontId="16" fillId="0" borderId="12" xfId="3" applyFont="1" applyBorder="1" applyAlignment="1">
      <alignment horizontal="center"/>
    </xf>
    <xf numFmtId="188" fontId="12" fillId="0" borderId="12" xfId="1" applyNumberFormat="1" applyFont="1" applyBorder="1"/>
    <xf numFmtId="189" fontId="12" fillId="0" borderId="12" xfId="2" applyNumberFormat="1" applyFont="1" applyBorder="1"/>
    <xf numFmtId="4" fontId="16" fillId="0" borderId="6" xfId="2" applyNumberFormat="1" applyFont="1" applyBorder="1"/>
    <xf numFmtId="43" fontId="22" fillId="0" borderId="0" xfId="1" applyFont="1"/>
    <xf numFmtId="43" fontId="22" fillId="0" borderId="3" xfId="1" applyFont="1" applyBorder="1" applyAlignment="1">
      <alignment horizontal="center"/>
    </xf>
    <xf numFmtId="43" fontId="22" fillId="0" borderId="4" xfId="1" applyFont="1" applyBorder="1" applyAlignment="1">
      <alignment horizontal="center"/>
    </xf>
    <xf numFmtId="43" fontId="22" fillId="0" borderId="20" xfId="1" applyFont="1" applyBorder="1"/>
    <xf numFmtId="43" fontId="31" fillId="0" borderId="0" xfId="1" applyFont="1"/>
    <xf numFmtId="3" fontId="16" fillId="0" borderId="6" xfId="2" applyNumberFormat="1" applyFont="1" applyBorder="1"/>
    <xf numFmtId="0" fontId="31" fillId="0" borderId="16" xfId="3" applyFont="1" applyBorder="1"/>
    <xf numFmtId="190" fontId="16" fillId="0" borderId="6" xfId="1" applyNumberFormat="1" applyFont="1" applyBorder="1"/>
    <xf numFmtId="189" fontId="16" fillId="0" borderId="10" xfId="2" applyNumberFormat="1" applyFont="1" applyBorder="1"/>
    <xf numFmtId="0" fontId="14" fillId="0" borderId="9" xfId="3" quotePrefix="1" applyFont="1" applyBorder="1"/>
    <xf numFmtId="0" fontId="6" fillId="0" borderId="18" xfId="3" applyFont="1" applyBorder="1"/>
    <xf numFmtId="189" fontId="25" fillId="0" borderId="20" xfId="2" applyNumberFormat="1" applyFont="1" applyBorder="1"/>
    <xf numFmtId="0" fontId="35" fillId="0" borderId="16" xfId="0" applyFont="1" applyBorder="1" applyAlignment="1">
      <alignment horizontal="left"/>
    </xf>
    <xf numFmtId="187" fontId="24" fillId="0" borderId="8" xfId="2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0" borderId="24" xfId="0" applyFont="1" applyBorder="1"/>
    <xf numFmtId="4" fontId="25" fillId="0" borderId="10" xfId="2" applyNumberFormat="1" applyFont="1" applyBorder="1"/>
    <xf numFmtId="0" fontId="29" fillId="0" borderId="6" xfId="3" applyFont="1" applyBorder="1"/>
    <xf numFmtId="0" fontId="26" fillId="0" borderId="6" xfId="3" applyFont="1" applyBorder="1"/>
    <xf numFmtId="43" fontId="15" fillId="0" borderId="0" xfId="1" applyFont="1" applyAlignment="1"/>
    <xf numFmtId="43" fontId="26" fillId="0" borderId="0" xfId="1" applyFont="1" applyAlignment="1"/>
    <xf numFmtId="43" fontId="22" fillId="0" borderId="10" xfId="1" applyFont="1" applyBorder="1"/>
    <xf numFmtId="43" fontId="16" fillId="0" borderId="10" xfId="1" applyFont="1" applyBorder="1"/>
    <xf numFmtId="43" fontId="31" fillId="0" borderId="10" xfId="1" applyFont="1" applyBorder="1"/>
    <xf numFmtId="43" fontId="22" fillId="0" borderId="12" xfId="1" applyFont="1" applyBorder="1"/>
    <xf numFmtId="43" fontId="16" fillId="0" borderId="2" xfId="1" applyFont="1" applyBorder="1"/>
    <xf numFmtId="43" fontId="16" fillId="0" borderId="0" xfId="1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43" fontId="14" fillId="0" borderId="0" xfId="1" applyFont="1" applyBorder="1"/>
    <xf numFmtId="43" fontId="14" fillId="0" borderId="0" xfId="1" applyFont="1"/>
    <xf numFmtId="43" fontId="12" fillId="0" borderId="0" xfId="1" applyFont="1" applyBorder="1"/>
    <xf numFmtId="43" fontId="25" fillId="0" borderId="0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Border="1"/>
    <xf numFmtId="43" fontId="6" fillId="0" borderId="0" xfId="1" applyFont="1" applyAlignment="1"/>
    <xf numFmtId="43" fontId="22" fillId="0" borderId="3" xfId="1" applyFont="1" applyBorder="1" applyAlignment="1"/>
    <xf numFmtId="43" fontId="22" fillId="0" borderId="4" xfId="1" applyFont="1" applyBorder="1" applyAlignment="1"/>
    <xf numFmtId="43" fontId="22" fillId="0" borderId="6" xfId="1" applyFont="1" applyBorder="1"/>
    <xf numFmtId="43" fontId="22" fillId="0" borderId="2" xfId="1" applyFont="1" applyBorder="1"/>
    <xf numFmtId="43" fontId="22" fillId="0" borderId="9" xfId="1" applyFont="1" applyBorder="1"/>
    <xf numFmtId="43" fontId="26" fillId="0" borderId="20" xfId="1" applyFont="1" applyBorder="1"/>
    <xf numFmtId="187" fontId="25" fillId="0" borderId="4" xfId="2" applyFont="1" applyBorder="1" applyAlignment="1">
      <alignment horizontal="center"/>
    </xf>
    <xf numFmtId="187" fontId="16" fillId="0" borderId="4" xfId="2" applyFont="1" applyBorder="1" applyAlignment="1">
      <alignment horizontal="center"/>
    </xf>
    <xf numFmtId="187" fontId="6" fillId="0" borderId="6" xfId="2" applyFont="1" applyBorder="1"/>
    <xf numFmtId="15" fontId="28" fillId="0" borderId="6" xfId="3" applyNumberFormat="1" applyFont="1" applyBorder="1" applyAlignment="1">
      <alignment horizontal="center"/>
    </xf>
    <xf numFmtId="43" fontId="24" fillId="0" borderId="20" xfId="1" applyFont="1" applyBorder="1"/>
    <xf numFmtId="0" fontId="22" fillId="0" borderId="19" xfId="3" applyFont="1" applyBorder="1"/>
    <xf numFmtId="0" fontId="35" fillId="0" borderId="3" xfId="0" applyFont="1" applyBorder="1"/>
    <xf numFmtId="0" fontId="35" fillId="0" borderId="6" xfId="0" applyFont="1" applyBorder="1"/>
    <xf numFmtId="0" fontId="41" fillId="0" borderId="6" xfId="0" applyFont="1" applyBorder="1"/>
    <xf numFmtId="187" fontId="15" fillId="0" borderId="3" xfId="2" applyFont="1" applyBorder="1" applyAlignment="1">
      <alignment horizontal="center"/>
    </xf>
    <xf numFmtId="187" fontId="15" fillId="0" borderId="4" xfId="2" applyFont="1" applyBorder="1" applyAlignment="1">
      <alignment horizontal="center"/>
    </xf>
    <xf numFmtId="189" fontId="6" fillId="0" borderId="6" xfId="2" applyNumberFormat="1" applyFont="1" applyBorder="1"/>
    <xf numFmtId="189" fontId="15" fillId="0" borderId="20" xfId="2" applyNumberFormat="1" applyFont="1" applyBorder="1"/>
    <xf numFmtId="188" fontId="15" fillId="0" borderId="0" xfId="1" applyNumberFormat="1" applyFont="1"/>
    <xf numFmtId="43" fontId="37" fillId="0" borderId="0" xfId="0" applyNumberFormat="1" applyFont="1"/>
    <xf numFmtId="0" fontId="42" fillId="3" borderId="6" xfId="0" applyFont="1" applyFill="1" applyBorder="1" applyAlignment="1">
      <alignment horizontal="left"/>
    </xf>
    <xf numFmtId="0" fontId="35" fillId="4" borderId="6" xfId="0" applyFont="1" applyFill="1" applyBorder="1" applyAlignment="1">
      <alignment horizontal="left"/>
    </xf>
    <xf numFmtId="0" fontId="35" fillId="3" borderId="6" xfId="0" applyFont="1" applyFill="1" applyBorder="1" applyAlignment="1">
      <alignment horizontal="left"/>
    </xf>
    <xf numFmtId="43" fontId="31" fillId="0" borderId="6" xfId="1" applyFont="1" applyBorder="1"/>
    <xf numFmtId="187" fontId="41" fillId="0" borderId="6" xfId="2" applyFont="1" applyBorder="1"/>
    <xf numFmtId="43" fontId="12" fillId="0" borderId="6" xfId="1" applyFont="1" applyBorder="1"/>
    <xf numFmtId="187" fontId="12" fillId="0" borderId="10" xfId="2" applyFont="1" applyBorder="1"/>
    <xf numFmtId="0" fontId="14" fillId="0" borderId="9" xfId="3" applyFont="1" applyBorder="1"/>
    <xf numFmtId="0" fontId="16" fillId="0" borderId="9" xfId="3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3" applyFont="1" applyAlignment="1">
      <alignment horizontal="center"/>
    </xf>
    <xf numFmtId="0" fontId="22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_Sheet1" xfId="2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workbookViewId="0">
      <selection activeCell="L14" sqref="L14"/>
    </sheetView>
  </sheetViews>
  <sheetFormatPr defaultRowHeight="12.75" x14ac:dyDescent="0.2"/>
  <cols>
    <col min="1" max="1" width="4" customWidth="1"/>
    <col min="2" max="2" width="25.85546875" customWidth="1"/>
    <col min="3" max="3" width="14.42578125" customWidth="1"/>
    <col min="4" max="4" width="13.140625" customWidth="1"/>
    <col min="5" max="5" width="11.7109375" customWidth="1"/>
    <col min="6" max="6" width="13.140625" customWidth="1"/>
    <col min="7" max="7" width="12.5703125" customWidth="1"/>
    <col min="8" max="8" width="11.42578125" customWidth="1"/>
    <col min="9" max="9" width="10.85546875" customWidth="1"/>
    <col min="10" max="10" width="10.28515625" bestFit="1" customWidth="1"/>
  </cols>
  <sheetData>
    <row r="3" spans="1:8" ht="21" x14ac:dyDescent="0.35">
      <c r="A3" s="333" t="s">
        <v>958</v>
      </c>
      <c r="B3" s="333"/>
      <c r="C3" s="333"/>
      <c r="D3" s="333"/>
      <c r="E3" s="333"/>
      <c r="F3" s="333"/>
      <c r="G3" s="333"/>
    </row>
    <row r="4" spans="1:8" ht="21" x14ac:dyDescent="0.35">
      <c r="A4" s="333" t="s">
        <v>13</v>
      </c>
      <c r="B4" s="333"/>
      <c r="C4" s="333"/>
      <c r="D4" s="333"/>
      <c r="E4" s="333"/>
      <c r="F4" s="333"/>
      <c r="G4" s="333"/>
    </row>
    <row r="5" spans="1:8" ht="21" x14ac:dyDescent="0.35">
      <c r="A5" s="333" t="s">
        <v>1541</v>
      </c>
      <c r="B5" s="333"/>
      <c r="C5" s="333"/>
      <c r="D5" s="333"/>
      <c r="E5" s="333"/>
      <c r="F5" s="333"/>
      <c r="G5" s="333"/>
    </row>
    <row r="6" spans="1:8" ht="21" x14ac:dyDescent="0.35">
      <c r="A6" s="16" t="s">
        <v>7</v>
      </c>
      <c r="B6" s="16"/>
      <c r="C6" s="16"/>
      <c r="D6" s="16"/>
      <c r="E6" s="16"/>
      <c r="F6" s="16"/>
      <c r="G6" s="16"/>
    </row>
    <row r="7" spans="1:8" ht="21" x14ac:dyDescent="0.35">
      <c r="A7" s="17" t="s">
        <v>8</v>
      </c>
      <c r="B7" s="18" t="s">
        <v>4</v>
      </c>
      <c r="C7" s="17" t="s">
        <v>9</v>
      </c>
      <c r="D7" s="18" t="s">
        <v>1</v>
      </c>
      <c r="E7" s="17" t="s">
        <v>25</v>
      </c>
      <c r="F7" s="17" t="s">
        <v>2</v>
      </c>
      <c r="G7" s="17" t="s">
        <v>10</v>
      </c>
      <c r="H7" s="4" t="s">
        <v>3</v>
      </c>
    </row>
    <row r="8" spans="1:8" ht="21" x14ac:dyDescent="0.35">
      <c r="A8" s="19"/>
      <c r="B8" s="20"/>
      <c r="C8" s="19"/>
      <c r="D8" s="20"/>
      <c r="E8" s="19" t="s">
        <v>26</v>
      </c>
      <c r="F8" s="19"/>
      <c r="G8" s="19" t="s">
        <v>11</v>
      </c>
      <c r="H8" s="19"/>
    </row>
    <row r="9" spans="1:8" ht="18.75" x14ac:dyDescent="0.3">
      <c r="A9" s="6">
        <v>1</v>
      </c>
      <c r="B9" s="7" t="s">
        <v>105</v>
      </c>
      <c r="C9" s="222">
        <v>17541890</v>
      </c>
      <c r="D9" s="101">
        <v>15525062.939999999</v>
      </c>
      <c r="E9" s="40"/>
      <c r="F9" s="30">
        <f>C9-D9-E9</f>
        <v>2016827.0600000005</v>
      </c>
      <c r="G9" s="31">
        <f>D9*100/C9</f>
        <v>88.502794966790916</v>
      </c>
      <c r="H9" s="31"/>
    </row>
    <row r="10" spans="1:8" ht="18.75" x14ac:dyDescent="0.3">
      <c r="A10" s="32">
        <v>2</v>
      </c>
      <c r="B10" s="7" t="s">
        <v>5</v>
      </c>
      <c r="C10" s="48">
        <v>69295317</v>
      </c>
      <c r="D10" s="9">
        <v>42288379.890000001</v>
      </c>
      <c r="E10" s="43"/>
      <c r="F10" s="30">
        <f>C10-D10-E10</f>
        <v>27006937.109999999</v>
      </c>
      <c r="G10" s="31">
        <f>D10*100/C10</f>
        <v>61.026317103073502</v>
      </c>
      <c r="H10" s="31"/>
    </row>
    <row r="11" spans="1:8" ht="18.75" x14ac:dyDescent="0.3">
      <c r="A11" s="6">
        <v>3</v>
      </c>
      <c r="B11" s="52" t="s">
        <v>968</v>
      </c>
      <c r="C11" s="48">
        <v>50680120</v>
      </c>
      <c r="D11" s="66">
        <v>9332459.6799999997</v>
      </c>
      <c r="E11" s="161">
        <v>27768583</v>
      </c>
      <c r="F11" s="30">
        <f>C11-D11-E11</f>
        <v>13579077.32</v>
      </c>
      <c r="G11" s="31">
        <f>D11*100/C11</f>
        <v>18.414438797698189</v>
      </c>
      <c r="H11" s="8"/>
    </row>
    <row r="12" spans="1:8" ht="18.75" x14ac:dyDescent="0.3">
      <c r="A12" s="32">
        <v>4</v>
      </c>
      <c r="B12" s="52" t="s">
        <v>265</v>
      </c>
      <c r="C12" s="8">
        <v>104126025</v>
      </c>
      <c r="D12" s="161">
        <v>103988190</v>
      </c>
      <c r="E12" s="58"/>
      <c r="F12" s="30">
        <f>C12-D12</f>
        <v>137835</v>
      </c>
      <c r="G12" s="31">
        <f>D12*100/C12</f>
        <v>99.867626753254044</v>
      </c>
      <c r="H12" s="8"/>
    </row>
    <row r="13" spans="1:8" ht="18.75" x14ac:dyDescent="0.3">
      <c r="A13" s="32"/>
      <c r="B13" s="52"/>
      <c r="C13" s="8"/>
      <c r="D13" s="57"/>
      <c r="E13" s="58"/>
      <c r="F13" s="30"/>
      <c r="G13" s="213"/>
      <c r="H13" s="8"/>
    </row>
    <row r="14" spans="1:8" ht="18.75" x14ac:dyDescent="0.3">
      <c r="A14" s="6"/>
      <c r="B14" s="52"/>
      <c r="C14" s="8"/>
      <c r="D14" s="57"/>
      <c r="E14" s="48"/>
      <c r="F14" s="30"/>
      <c r="G14" s="31"/>
      <c r="H14" s="8"/>
    </row>
    <row r="15" spans="1:8" ht="18.75" x14ac:dyDescent="0.3">
      <c r="A15" s="6"/>
      <c r="B15" s="7"/>
      <c r="C15" s="8"/>
      <c r="D15" s="57"/>
      <c r="E15" s="8"/>
      <c r="F15" s="59"/>
      <c r="G15" s="31"/>
      <c r="H15" s="31"/>
    </row>
    <row r="16" spans="1:8" ht="18.75" x14ac:dyDescent="0.3">
      <c r="A16" s="32"/>
      <c r="B16" s="7"/>
      <c r="C16" s="8"/>
      <c r="D16" s="10"/>
      <c r="E16" s="8"/>
      <c r="F16" s="30"/>
      <c r="G16" s="31"/>
      <c r="H16" s="31"/>
    </row>
    <row r="17" spans="1:10" ht="18.75" x14ac:dyDescent="0.3">
      <c r="A17" s="6"/>
      <c r="B17" s="7"/>
      <c r="C17" s="33"/>
      <c r="D17" s="34"/>
      <c r="E17" s="33"/>
      <c r="F17" s="30"/>
      <c r="G17" s="31"/>
      <c r="H17" s="31"/>
      <c r="I17" s="42"/>
      <c r="J17" s="42"/>
    </row>
    <row r="18" spans="1:10" ht="18.75" x14ac:dyDescent="0.3">
      <c r="A18" s="35"/>
      <c r="B18" s="36"/>
      <c r="C18" s="33"/>
      <c r="D18" s="34"/>
      <c r="E18" s="33"/>
      <c r="F18" s="30"/>
      <c r="G18" s="31"/>
      <c r="H18" s="31"/>
    </row>
    <row r="19" spans="1:10" ht="21" x14ac:dyDescent="0.45">
      <c r="A19" s="35"/>
      <c r="B19" s="36"/>
      <c r="C19" s="33"/>
      <c r="D19" s="34"/>
      <c r="E19" s="33"/>
      <c r="F19" s="37"/>
      <c r="G19" s="31"/>
      <c r="H19" s="31"/>
      <c r="I19" s="44"/>
      <c r="J19" s="44"/>
    </row>
    <row r="20" spans="1:10" ht="18.75" x14ac:dyDescent="0.3">
      <c r="A20" s="6"/>
      <c r="B20" s="7"/>
      <c r="C20" s="8"/>
      <c r="D20" s="10"/>
      <c r="E20" s="8"/>
      <c r="F20" s="30"/>
      <c r="G20" s="31"/>
      <c r="H20" s="31"/>
    </row>
    <row r="21" spans="1:10" ht="18.75" x14ac:dyDescent="0.3">
      <c r="A21" s="6"/>
      <c r="B21" s="7"/>
      <c r="C21" s="8"/>
      <c r="D21" s="10"/>
      <c r="E21" s="8"/>
      <c r="F21" s="30"/>
      <c r="G21" s="31"/>
      <c r="H21" s="31"/>
    </row>
    <row r="22" spans="1:10" ht="18.75" x14ac:dyDescent="0.3">
      <c r="A22" s="35"/>
      <c r="B22" s="36"/>
      <c r="C22" s="33"/>
      <c r="D22" s="34"/>
      <c r="E22" s="33"/>
      <c r="F22" s="33"/>
      <c r="G22" s="33"/>
      <c r="H22" s="33"/>
    </row>
    <row r="23" spans="1:10" ht="18.75" x14ac:dyDescent="0.3">
      <c r="A23" s="3"/>
      <c r="B23" s="29" t="s">
        <v>6</v>
      </c>
      <c r="C23" s="38">
        <f>SUM(C9:C22)</f>
        <v>241643352</v>
      </c>
      <c r="D23" s="205">
        <f>SUM(D9:D22)</f>
        <v>171134092.50999999</v>
      </c>
      <c r="E23" s="199">
        <f>SUM(E9:E22)</f>
        <v>27768583</v>
      </c>
      <c r="F23" s="38">
        <f>SUM(F9:F22)</f>
        <v>42740676.490000002</v>
      </c>
      <c r="G23" s="39">
        <f>D23*100/C23</f>
        <v>70.820939659039325</v>
      </c>
      <c r="H23" s="39"/>
    </row>
    <row r="24" spans="1:10" ht="18.75" x14ac:dyDescent="0.3">
      <c r="A24" s="5"/>
      <c r="B24" s="53"/>
      <c r="C24" s="67"/>
      <c r="D24" s="67"/>
      <c r="E24" s="68"/>
      <c r="F24" s="67"/>
      <c r="G24" s="69"/>
      <c r="H24" s="69"/>
    </row>
    <row r="25" spans="1:10" ht="21" x14ac:dyDescent="0.35">
      <c r="A25" s="5"/>
      <c r="B25" s="22" t="s">
        <v>21</v>
      </c>
      <c r="C25" s="67"/>
      <c r="D25" s="67"/>
      <c r="E25" s="68"/>
      <c r="F25" s="67"/>
      <c r="G25" s="69"/>
      <c r="H25" s="69"/>
    </row>
    <row r="26" spans="1:10" ht="23.25" x14ac:dyDescent="0.5">
      <c r="A26" s="21"/>
      <c r="B26" s="23" t="s">
        <v>732</v>
      </c>
      <c r="C26" s="23"/>
      <c r="D26" s="23" t="s">
        <v>720</v>
      </c>
      <c r="E26" s="22"/>
      <c r="F26" s="23" t="s">
        <v>22</v>
      </c>
      <c r="G26" s="22"/>
      <c r="H26" s="15"/>
    </row>
    <row r="27" spans="1:10" ht="23.25" x14ac:dyDescent="0.5">
      <c r="A27" s="21"/>
      <c r="B27" s="22" t="s">
        <v>728</v>
      </c>
      <c r="C27" s="22"/>
      <c r="D27" s="22" t="s">
        <v>721</v>
      </c>
      <c r="E27" s="22"/>
      <c r="F27" s="22" t="s">
        <v>725</v>
      </c>
      <c r="G27" s="22"/>
      <c r="H27" s="195"/>
    </row>
    <row r="28" spans="1:10" ht="23.25" x14ac:dyDescent="0.5">
      <c r="A28" s="21"/>
      <c r="B28" s="22" t="s">
        <v>729</v>
      </c>
      <c r="C28" s="22"/>
      <c r="D28" s="22" t="s">
        <v>722</v>
      </c>
      <c r="E28" s="22"/>
      <c r="F28" s="22" t="s">
        <v>726</v>
      </c>
      <c r="G28" s="22"/>
      <c r="H28" s="14"/>
    </row>
    <row r="29" spans="1:10" ht="23.25" x14ac:dyDescent="0.5">
      <c r="A29" s="21"/>
      <c r="B29" s="22" t="s">
        <v>730</v>
      </c>
      <c r="C29" s="22"/>
      <c r="D29" s="22" t="s">
        <v>723</v>
      </c>
      <c r="E29" s="22"/>
      <c r="F29" s="22" t="s">
        <v>727</v>
      </c>
      <c r="G29" s="22"/>
      <c r="H29" s="195"/>
    </row>
    <row r="30" spans="1:10" ht="23.25" x14ac:dyDescent="0.5">
      <c r="A30" s="21"/>
      <c r="B30" s="22" t="s">
        <v>731</v>
      </c>
      <c r="C30" s="22"/>
      <c r="D30" s="22" t="s">
        <v>724</v>
      </c>
      <c r="E30" s="22"/>
      <c r="F30" s="22" t="s">
        <v>724</v>
      </c>
      <c r="G30" s="22"/>
      <c r="H30" s="14"/>
    </row>
    <row r="31" spans="1:10" ht="23.25" x14ac:dyDescent="0.5">
      <c r="B31" s="14"/>
      <c r="C31" s="14"/>
      <c r="D31" s="14"/>
      <c r="E31" s="14"/>
      <c r="F31" s="14"/>
    </row>
    <row r="35" spans="1:6" ht="19.5" customHeight="1" x14ac:dyDescent="0.2">
      <c r="A35" s="11"/>
      <c r="B35" s="11"/>
      <c r="C35" s="11"/>
    </row>
    <row r="36" spans="1:6" ht="26.25" x14ac:dyDescent="0.55000000000000004">
      <c r="A36" s="61"/>
      <c r="B36" s="62"/>
      <c r="C36" s="63"/>
      <c r="D36" s="12"/>
      <c r="E36" s="12"/>
      <c r="F36" s="12"/>
    </row>
    <row r="37" spans="1:6" ht="26.25" x14ac:dyDescent="0.55000000000000004">
      <c r="A37" s="61"/>
      <c r="B37" s="62"/>
      <c r="C37" s="63"/>
      <c r="D37" s="12"/>
      <c r="E37" s="12"/>
    </row>
    <row r="38" spans="1:6" ht="26.25" x14ac:dyDescent="0.55000000000000004">
      <c r="A38" s="61"/>
      <c r="B38" s="62"/>
      <c r="C38" s="63"/>
      <c r="D38" s="12"/>
      <c r="E38" s="12"/>
    </row>
    <row r="39" spans="1:6" ht="26.25" x14ac:dyDescent="0.55000000000000004">
      <c r="A39" s="61"/>
      <c r="B39" s="62"/>
      <c r="C39" s="63"/>
      <c r="D39" s="12"/>
      <c r="E39" s="12"/>
    </row>
    <row r="40" spans="1:6" ht="26.25" x14ac:dyDescent="0.55000000000000004">
      <c r="A40" s="61"/>
      <c r="B40" s="62"/>
      <c r="C40" s="63"/>
      <c r="D40" s="12"/>
      <c r="E40" s="12"/>
    </row>
    <row r="41" spans="1:6" ht="26.25" x14ac:dyDescent="0.55000000000000004">
      <c r="A41" s="61"/>
      <c r="B41" s="62"/>
      <c r="C41" s="63"/>
      <c r="D41" s="12"/>
      <c r="E41" s="12"/>
    </row>
    <row r="42" spans="1:6" ht="26.25" x14ac:dyDescent="0.55000000000000004">
      <c r="A42" s="61"/>
      <c r="B42" s="62"/>
      <c r="C42" s="63"/>
    </row>
    <row r="43" spans="1:6" ht="26.25" x14ac:dyDescent="0.55000000000000004">
      <c r="A43" s="61"/>
      <c r="B43" s="62"/>
      <c r="C43" s="63"/>
    </row>
    <row r="44" spans="1:6" ht="26.25" x14ac:dyDescent="0.55000000000000004">
      <c r="A44" s="61"/>
      <c r="B44" s="62"/>
      <c r="C44" s="64"/>
    </row>
    <row r="45" spans="1:6" ht="23.25" x14ac:dyDescent="0.5">
      <c r="A45" s="61"/>
      <c r="B45" s="45"/>
      <c r="C45" s="60"/>
      <c r="D45" s="12"/>
      <c r="E45" s="12"/>
      <c r="F45" s="12"/>
    </row>
    <row r="46" spans="1:6" ht="23.25" x14ac:dyDescent="0.5">
      <c r="A46" s="11"/>
      <c r="B46" s="45"/>
      <c r="C46" s="60"/>
      <c r="D46" s="12"/>
      <c r="E46" s="12"/>
    </row>
    <row r="47" spans="1:6" ht="23.25" x14ac:dyDescent="0.5">
      <c r="B47" s="45"/>
      <c r="C47" s="46"/>
      <c r="D47" s="12"/>
      <c r="E47" s="12"/>
    </row>
    <row r="48" spans="1:6" ht="23.25" x14ac:dyDescent="0.5">
      <c r="B48" s="12"/>
      <c r="C48" s="12"/>
      <c r="D48" s="12"/>
      <c r="E48" s="12"/>
    </row>
    <row r="49" spans="2:5" ht="23.25" x14ac:dyDescent="0.5">
      <c r="B49" s="12"/>
      <c r="C49" s="24"/>
      <c r="D49" s="12"/>
      <c r="E49" s="12"/>
    </row>
    <row r="50" spans="2:5" ht="23.25" x14ac:dyDescent="0.5">
      <c r="B50" s="12"/>
      <c r="C50" s="12"/>
      <c r="D50" s="12"/>
      <c r="E50" s="12"/>
    </row>
    <row r="51" spans="2:5" ht="23.25" x14ac:dyDescent="0.5">
      <c r="B51" s="12"/>
      <c r="C51" s="12"/>
      <c r="D51" s="12"/>
      <c r="E51" s="12"/>
    </row>
    <row r="52" spans="2:5" ht="23.25" x14ac:dyDescent="0.5">
      <c r="B52" s="12"/>
      <c r="C52" s="12"/>
      <c r="D52" s="12"/>
      <c r="E52" s="12"/>
    </row>
    <row r="53" spans="2:5" ht="23.25" x14ac:dyDescent="0.5">
      <c r="B53" s="12"/>
      <c r="C53" s="24"/>
      <c r="D53" s="12"/>
      <c r="E53" s="12"/>
    </row>
    <row r="54" spans="2:5" ht="23.25" x14ac:dyDescent="0.5">
      <c r="B54" s="12"/>
      <c r="C54" s="24"/>
      <c r="D54" s="12"/>
      <c r="E54" s="12"/>
    </row>
    <row r="55" spans="2:5" ht="23.25" x14ac:dyDescent="0.5">
      <c r="B55" s="12"/>
      <c r="C55" s="24"/>
      <c r="D55" s="12"/>
      <c r="E55" s="12"/>
    </row>
    <row r="56" spans="2:5" ht="23.25" x14ac:dyDescent="0.5">
      <c r="B56" s="12"/>
      <c r="C56" s="12"/>
      <c r="D56" s="12"/>
      <c r="E56" s="12"/>
    </row>
  </sheetData>
  <mergeCells count="3">
    <mergeCell ref="A4:G4"/>
    <mergeCell ref="A5:G5"/>
    <mergeCell ref="A3:G3"/>
  </mergeCells>
  <phoneticPr fontId="5" type="noConversion"/>
  <pageMargins left="0.42" right="0.28999999999999998" top="0.44" bottom="1" header="0.27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:H2"/>
    </sheetView>
  </sheetViews>
  <sheetFormatPr defaultRowHeight="17.25" x14ac:dyDescent="0.3"/>
  <cols>
    <col min="1" max="1" width="8.7109375" style="88" customWidth="1"/>
    <col min="2" max="2" width="8.42578125" style="88" customWidth="1"/>
    <col min="3" max="3" width="26.42578125" style="88" customWidth="1"/>
    <col min="4" max="4" width="11.7109375" style="88" customWidth="1"/>
    <col min="5" max="5" width="12.28515625" style="88" customWidth="1"/>
    <col min="6" max="6" width="9.140625" style="88" customWidth="1"/>
    <col min="7" max="7" width="11.85546875" style="88" customWidth="1"/>
    <col min="8" max="8" width="9.28515625" style="88" customWidth="1"/>
    <col min="9" max="9" width="9.140625" style="88"/>
    <col min="10" max="10" width="11.28515625" style="88" bestFit="1" customWidth="1"/>
    <col min="11" max="11" width="11.42578125" style="88" bestFit="1" customWidth="1"/>
    <col min="12" max="12" width="10.28515625" style="88" bestFit="1" customWidth="1"/>
    <col min="13" max="13" width="9.140625" style="88"/>
    <col min="14" max="14" width="14.42578125" style="88" customWidth="1"/>
    <col min="15" max="15" width="9.140625" style="88"/>
    <col min="16" max="16" width="12.28515625" style="88" customWidth="1"/>
    <col min="17" max="17" width="11.140625" style="88" customWidth="1"/>
    <col min="18" max="16384" width="9.140625" style="88"/>
  </cols>
  <sheetData>
    <row r="1" spans="1:8" x14ac:dyDescent="0.3">
      <c r="A1" s="335" t="s">
        <v>167</v>
      </c>
      <c r="B1" s="335"/>
      <c r="C1" s="335"/>
      <c r="D1" s="335"/>
      <c r="E1" s="335"/>
      <c r="F1" s="335"/>
      <c r="G1" s="335"/>
      <c r="H1" s="87" t="s">
        <v>140</v>
      </c>
    </row>
    <row r="2" spans="1:8" x14ac:dyDescent="0.3">
      <c r="A2" s="335" t="s">
        <v>1551</v>
      </c>
      <c r="B2" s="335"/>
      <c r="C2" s="335"/>
      <c r="D2" s="335"/>
      <c r="E2" s="335"/>
      <c r="F2" s="335"/>
      <c r="G2" s="335"/>
      <c r="H2" s="335"/>
    </row>
    <row r="3" spans="1:8" x14ac:dyDescent="0.3">
      <c r="A3" s="87" t="s">
        <v>14</v>
      </c>
      <c r="B3" s="87"/>
      <c r="C3" s="87"/>
      <c r="D3" s="87"/>
      <c r="E3" s="87"/>
      <c r="F3" s="87"/>
      <c r="G3" s="87" t="s">
        <v>5</v>
      </c>
      <c r="H3" s="87" t="s">
        <v>125</v>
      </c>
    </row>
    <row r="4" spans="1:8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114" t="s">
        <v>3</v>
      </c>
    </row>
    <row r="5" spans="1:8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117" t="s">
        <v>17</v>
      </c>
    </row>
    <row r="6" spans="1:8" x14ac:dyDescent="0.3">
      <c r="A6" s="99" t="s">
        <v>171</v>
      </c>
      <c r="B6" s="107" t="s">
        <v>176</v>
      </c>
      <c r="C6" s="84" t="s">
        <v>130</v>
      </c>
      <c r="D6" s="146">
        <v>226800</v>
      </c>
      <c r="E6" s="146"/>
      <c r="F6" s="101"/>
      <c r="G6" s="147">
        <v>226800</v>
      </c>
      <c r="H6" s="142" t="s">
        <v>151</v>
      </c>
    </row>
    <row r="7" spans="1:8" x14ac:dyDescent="0.3">
      <c r="A7" s="145" t="s">
        <v>235</v>
      </c>
      <c r="B7" s="100" t="s">
        <v>250</v>
      </c>
      <c r="C7" s="50" t="s">
        <v>236</v>
      </c>
      <c r="D7" s="148"/>
      <c r="E7" s="103">
        <v>75600</v>
      </c>
      <c r="F7" s="103"/>
      <c r="G7" s="102">
        <f>G6-E7</f>
        <v>151200</v>
      </c>
      <c r="H7" s="142"/>
    </row>
    <row r="8" spans="1:8" x14ac:dyDescent="0.3">
      <c r="A8" s="145" t="s">
        <v>375</v>
      </c>
      <c r="B8" s="100" t="s">
        <v>552</v>
      </c>
      <c r="C8" s="50" t="s">
        <v>370</v>
      </c>
      <c r="D8" s="148"/>
      <c r="E8" s="148">
        <v>37800</v>
      </c>
      <c r="F8" s="103"/>
      <c r="G8" s="102">
        <f>G7-E8</f>
        <v>113400</v>
      </c>
      <c r="H8" s="142"/>
    </row>
    <row r="9" spans="1:8" x14ac:dyDescent="0.3">
      <c r="A9" s="145" t="s">
        <v>642</v>
      </c>
      <c r="B9" s="100" t="s">
        <v>700</v>
      </c>
      <c r="C9" s="50" t="s">
        <v>640</v>
      </c>
      <c r="D9" s="148"/>
      <c r="E9" s="148">
        <v>37800</v>
      </c>
      <c r="F9" s="103"/>
      <c r="G9" s="102">
        <f>G8-E9</f>
        <v>75600</v>
      </c>
      <c r="H9" s="142"/>
    </row>
    <row r="10" spans="1:8" x14ac:dyDescent="0.3">
      <c r="A10" s="145" t="s">
        <v>904</v>
      </c>
      <c r="B10" s="107" t="s">
        <v>920</v>
      </c>
      <c r="C10" s="50" t="s">
        <v>895</v>
      </c>
      <c r="D10" s="148"/>
      <c r="E10" s="148">
        <v>37800</v>
      </c>
      <c r="F10" s="103"/>
      <c r="G10" s="102">
        <f>G9-E10</f>
        <v>37800</v>
      </c>
      <c r="H10" s="142"/>
    </row>
    <row r="11" spans="1:8" x14ac:dyDescent="0.3">
      <c r="A11" s="145" t="s">
        <v>1016</v>
      </c>
      <c r="B11" s="107" t="s">
        <v>1017</v>
      </c>
      <c r="C11" s="84" t="s">
        <v>1018</v>
      </c>
      <c r="D11" s="148">
        <v>226800</v>
      </c>
      <c r="E11" s="148"/>
      <c r="F11" s="103"/>
      <c r="G11" s="102">
        <f>G10+D11</f>
        <v>264600</v>
      </c>
      <c r="H11" s="142" t="s">
        <v>1308</v>
      </c>
    </row>
    <row r="12" spans="1:8" x14ac:dyDescent="0.3">
      <c r="A12" s="145" t="s">
        <v>1066</v>
      </c>
      <c r="B12" s="107" t="s">
        <v>1086</v>
      </c>
      <c r="C12" s="50" t="s">
        <v>1065</v>
      </c>
      <c r="D12" s="148"/>
      <c r="E12" s="148">
        <v>37800</v>
      </c>
      <c r="F12" s="103"/>
      <c r="G12" s="102">
        <f>G11-E12</f>
        <v>226800</v>
      </c>
      <c r="H12" s="142"/>
    </row>
    <row r="13" spans="1:8" x14ac:dyDescent="0.3">
      <c r="A13" s="145" t="s">
        <v>1215</v>
      </c>
      <c r="B13" s="107" t="s">
        <v>1259</v>
      </c>
      <c r="C13" s="50" t="s">
        <v>1253</v>
      </c>
      <c r="D13" s="148"/>
      <c r="E13" s="148">
        <v>37800</v>
      </c>
      <c r="F13" s="103"/>
      <c r="G13" s="102">
        <f>G12-E13</f>
        <v>189000</v>
      </c>
      <c r="H13" s="142"/>
    </row>
    <row r="14" spans="1:8" x14ac:dyDescent="0.3">
      <c r="A14" s="145" t="s">
        <v>1433</v>
      </c>
      <c r="B14" s="107" t="s">
        <v>1446</v>
      </c>
      <c r="C14" s="50" t="s">
        <v>1445</v>
      </c>
      <c r="D14" s="148"/>
      <c r="E14" s="148">
        <v>37800</v>
      </c>
      <c r="F14" s="103"/>
      <c r="G14" s="102">
        <f>G13-E14</f>
        <v>151200</v>
      </c>
      <c r="H14" s="142"/>
    </row>
    <row r="15" spans="1:8" x14ac:dyDescent="0.3">
      <c r="A15" s="99"/>
      <c r="B15" s="100"/>
      <c r="C15" s="50"/>
      <c r="D15" s="148"/>
      <c r="E15" s="160"/>
      <c r="F15" s="103"/>
      <c r="G15" s="102"/>
      <c r="H15" s="142"/>
    </row>
    <row r="16" spans="1:8" x14ac:dyDescent="0.3">
      <c r="A16" s="145" t="s">
        <v>261</v>
      </c>
      <c r="B16" s="100" t="s">
        <v>269</v>
      </c>
      <c r="C16" s="84" t="s">
        <v>131</v>
      </c>
      <c r="D16" s="146">
        <v>737100</v>
      </c>
      <c r="E16" s="146"/>
      <c r="F16" s="101"/>
      <c r="G16" s="147">
        <f>D16</f>
        <v>737100</v>
      </c>
      <c r="H16" s="142" t="s">
        <v>151</v>
      </c>
    </row>
    <row r="17" spans="1:18" x14ac:dyDescent="0.3">
      <c r="A17" s="99" t="s">
        <v>333</v>
      </c>
      <c r="B17" s="100" t="s">
        <v>334</v>
      </c>
      <c r="C17" s="84" t="s">
        <v>332</v>
      </c>
      <c r="D17" s="148">
        <v>1020600</v>
      </c>
      <c r="E17" s="103"/>
      <c r="F17" s="103"/>
      <c r="G17" s="147">
        <f>G16+D17</f>
        <v>1757700</v>
      </c>
      <c r="H17" s="142"/>
    </row>
    <row r="18" spans="1:18" x14ac:dyDescent="0.3">
      <c r="A18" s="99" t="s">
        <v>338</v>
      </c>
      <c r="B18" s="100" t="s">
        <v>339</v>
      </c>
      <c r="C18" s="50" t="s">
        <v>236</v>
      </c>
      <c r="D18" s="148"/>
      <c r="E18" s="103">
        <v>585900</v>
      </c>
      <c r="F18" s="103"/>
      <c r="G18" s="102">
        <f>G17-E18</f>
        <v>1171800</v>
      </c>
      <c r="H18" s="104"/>
      <c r="P18" s="149"/>
    </row>
    <row r="19" spans="1:18" x14ac:dyDescent="0.3">
      <c r="A19" s="145" t="s">
        <v>375</v>
      </c>
      <c r="B19" s="100" t="s">
        <v>554</v>
      </c>
      <c r="C19" s="50" t="s">
        <v>370</v>
      </c>
      <c r="D19" s="148"/>
      <c r="E19" s="103">
        <v>292950</v>
      </c>
      <c r="F19" s="103"/>
      <c r="G19" s="102">
        <f>G18-E19</f>
        <v>878850</v>
      </c>
      <c r="H19" s="104"/>
      <c r="P19" s="149"/>
    </row>
    <row r="20" spans="1:18" x14ac:dyDescent="0.3">
      <c r="A20" s="145" t="s">
        <v>642</v>
      </c>
      <c r="B20" s="100" t="s">
        <v>701</v>
      </c>
      <c r="C20" s="50" t="s">
        <v>640</v>
      </c>
      <c r="D20" s="148"/>
      <c r="E20" s="103">
        <v>292950</v>
      </c>
      <c r="F20" s="103"/>
      <c r="G20" s="102">
        <f>G19-E20</f>
        <v>585900</v>
      </c>
      <c r="H20" s="104"/>
      <c r="P20" s="149"/>
    </row>
    <row r="21" spans="1:18" x14ac:dyDescent="0.3">
      <c r="A21" s="145" t="s">
        <v>904</v>
      </c>
      <c r="B21" s="107" t="s">
        <v>926</v>
      </c>
      <c r="C21" s="50" t="s">
        <v>895</v>
      </c>
      <c r="D21" s="148"/>
      <c r="E21" s="103">
        <v>292950</v>
      </c>
      <c r="F21" s="103"/>
      <c r="G21" s="102">
        <f>G20-E21</f>
        <v>292950</v>
      </c>
      <c r="H21" s="104"/>
      <c r="P21" s="149"/>
    </row>
    <row r="22" spans="1:18" x14ac:dyDescent="0.3">
      <c r="A22" s="145" t="s">
        <v>1066</v>
      </c>
      <c r="B22" s="107" t="s">
        <v>1089</v>
      </c>
      <c r="C22" s="50" t="s">
        <v>1065</v>
      </c>
      <c r="D22" s="148"/>
      <c r="E22" s="103">
        <v>292950</v>
      </c>
      <c r="F22" s="103"/>
      <c r="G22" s="266">
        <f>G21-E22</f>
        <v>0</v>
      </c>
      <c r="H22" s="104"/>
      <c r="P22" s="149"/>
    </row>
    <row r="23" spans="1:18" x14ac:dyDescent="0.3">
      <c r="A23" s="145" t="s">
        <v>1199</v>
      </c>
      <c r="B23" s="107" t="s">
        <v>1206</v>
      </c>
      <c r="C23" s="84" t="s">
        <v>332</v>
      </c>
      <c r="D23" s="146">
        <v>737100</v>
      </c>
      <c r="E23" s="103"/>
      <c r="F23" s="103"/>
      <c r="G23" s="102">
        <f>G22+D23</f>
        <v>737100</v>
      </c>
      <c r="H23" s="104" t="s">
        <v>1316</v>
      </c>
      <c r="P23" s="149"/>
    </row>
    <row r="24" spans="1:18" x14ac:dyDescent="0.3">
      <c r="A24" s="99" t="s">
        <v>1318</v>
      </c>
      <c r="B24" s="107" t="s">
        <v>1319</v>
      </c>
      <c r="C24" s="314" t="s">
        <v>1320</v>
      </c>
      <c r="D24" s="148">
        <v>1020600</v>
      </c>
      <c r="E24" s="103"/>
      <c r="F24" s="103"/>
      <c r="G24" s="102">
        <f>G23+D24</f>
        <v>1757700</v>
      </c>
      <c r="H24" s="104" t="s">
        <v>1316</v>
      </c>
      <c r="P24" s="149"/>
    </row>
    <row r="25" spans="1:18" x14ac:dyDescent="0.3">
      <c r="A25" s="99" t="s">
        <v>1469</v>
      </c>
      <c r="B25" s="107" t="s">
        <v>1483</v>
      </c>
      <c r="C25" s="86" t="s">
        <v>1484</v>
      </c>
      <c r="D25" s="148"/>
      <c r="E25" s="103">
        <v>548100</v>
      </c>
      <c r="F25" s="103"/>
      <c r="G25" s="102">
        <f>G24-E25</f>
        <v>1209600</v>
      </c>
      <c r="H25" s="104"/>
      <c r="P25" s="149"/>
    </row>
    <row r="26" spans="1:18" x14ac:dyDescent="0.3">
      <c r="A26" s="99"/>
      <c r="B26" s="107"/>
      <c r="C26" s="314"/>
      <c r="D26" s="148"/>
      <c r="E26" s="103"/>
      <c r="F26" s="103"/>
      <c r="G26" s="102"/>
      <c r="H26" s="104"/>
      <c r="P26" s="149"/>
    </row>
    <row r="27" spans="1:18" x14ac:dyDescent="0.3">
      <c r="A27" s="99"/>
      <c r="B27" s="107"/>
      <c r="C27" s="314"/>
      <c r="D27" s="148"/>
      <c r="E27" s="103"/>
      <c r="F27" s="103"/>
      <c r="G27" s="102"/>
      <c r="H27" s="104"/>
      <c r="P27" s="149"/>
    </row>
    <row r="28" spans="1:18" x14ac:dyDescent="0.3">
      <c r="A28" s="99" t="s">
        <v>359</v>
      </c>
      <c r="B28" s="100" t="s">
        <v>371</v>
      </c>
      <c r="C28" s="84" t="s">
        <v>372</v>
      </c>
      <c r="D28" s="148">
        <v>1159650</v>
      </c>
      <c r="E28" s="103"/>
      <c r="F28" s="103"/>
      <c r="G28" s="102">
        <f>D28</f>
        <v>1159650</v>
      </c>
      <c r="H28" s="104"/>
      <c r="P28" s="149"/>
    </row>
    <row r="29" spans="1:18" x14ac:dyDescent="0.3">
      <c r="A29" s="99" t="s">
        <v>375</v>
      </c>
      <c r="B29" s="100" t="s">
        <v>374</v>
      </c>
      <c r="C29" s="50" t="s">
        <v>373</v>
      </c>
      <c r="D29" s="101">
        <v>31050</v>
      </c>
      <c r="E29" s="103"/>
      <c r="F29" s="101"/>
      <c r="G29" s="102">
        <f>G28+D29</f>
        <v>1190700</v>
      </c>
      <c r="H29" s="104"/>
      <c r="J29" s="150"/>
      <c r="K29" s="150"/>
      <c r="L29" s="150"/>
      <c r="M29" s="150"/>
      <c r="N29" s="151"/>
      <c r="O29" s="150"/>
      <c r="P29" s="152"/>
      <c r="Q29" s="150"/>
      <c r="R29" s="150"/>
    </row>
    <row r="30" spans="1:18" x14ac:dyDescent="0.3">
      <c r="A30" s="99" t="s">
        <v>598</v>
      </c>
      <c r="B30" s="107" t="s">
        <v>606</v>
      </c>
      <c r="C30" s="50" t="s">
        <v>607</v>
      </c>
      <c r="D30" s="101"/>
      <c r="E30" s="101">
        <v>1134000</v>
      </c>
      <c r="F30" s="101"/>
      <c r="G30" s="102">
        <f>G29-E30</f>
        <v>56700</v>
      </c>
      <c r="H30" s="104"/>
      <c r="J30" s="150"/>
      <c r="K30" s="150"/>
      <c r="L30" s="150"/>
      <c r="M30" s="150"/>
      <c r="N30" s="151"/>
      <c r="O30" s="150"/>
      <c r="P30" s="152"/>
      <c r="Q30" s="150"/>
      <c r="R30" s="150"/>
    </row>
    <row r="31" spans="1:18" x14ac:dyDescent="0.3">
      <c r="A31" s="99" t="s">
        <v>741</v>
      </c>
      <c r="B31" s="107" t="s">
        <v>742</v>
      </c>
      <c r="C31" s="84" t="s">
        <v>743</v>
      </c>
      <c r="D31" s="101">
        <v>1190700</v>
      </c>
      <c r="E31" s="101"/>
      <c r="F31" s="101"/>
      <c r="G31" s="102">
        <f>G30+D31</f>
        <v>1247400</v>
      </c>
      <c r="H31" s="104"/>
      <c r="J31" s="150"/>
      <c r="K31" s="150"/>
      <c r="L31" s="150"/>
      <c r="M31" s="150"/>
      <c r="N31" s="151"/>
      <c r="O31" s="150"/>
      <c r="P31" s="152"/>
      <c r="Q31" s="150"/>
      <c r="R31" s="150"/>
    </row>
    <row r="32" spans="1:18" x14ac:dyDescent="0.3">
      <c r="A32" s="99" t="s">
        <v>854</v>
      </c>
      <c r="B32" s="100" t="s">
        <v>858</v>
      </c>
      <c r="C32" s="50" t="s">
        <v>640</v>
      </c>
      <c r="D32" s="148"/>
      <c r="E32" s="103">
        <v>378000</v>
      </c>
      <c r="F32" s="101"/>
      <c r="G32" s="102">
        <f>G31-E32</f>
        <v>869400</v>
      </c>
      <c r="H32" s="104"/>
      <c r="J32" s="150"/>
      <c r="K32" s="150"/>
      <c r="L32" s="150"/>
      <c r="M32" s="150"/>
      <c r="N32" s="151"/>
      <c r="O32" s="150"/>
      <c r="P32" s="152"/>
      <c r="Q32" s="150"/>
      <c r="R32" s="150"/>
    </row>
    <row r="33" spans="1:18" x14ac:dyDescent="0.3">
      <c r="A33" s="145" t="s">
        <v>904</v>
      </c>
      <c r="B33" s="107" t="s">
        <v>927</v>
      </c>
      <c r="C33" s="50" t="s">
        <v>895</v>
      </c>
      <c r="D33" s="148"/>
      <c r="E33" s="103">
        <v>378000</v>
      </c>
      <c r="F33" s="101"/>
      <c r="G33" s="102">
        <f>G32-E33</f>
        <v>491400</v>
      </c>
      <c r="H33" s="104"/>
      <c r="J33" s="150"/>
      <c r="K33" s="150"/>
      <c r="L33" s="150"/>
      <c r="M33" s="150"/>
      <c r="N33" s="151"/>
      <c r="O33" s="150"/>
      <c r="P33" s="152"/>
      <c r="Q33" s="150"/>
      <c r="R33" s="150"/>
    </row>
    <row r="34" spans="1:18" x14ac:dyDescent="0.3">
      <c r="A34" s="145" t="s">
        <v>1066</v>
      </c>
      <c r="B34" s="107" t="s">
        <v>1090</v>
      </c>
      <c r="C34" s="50" t="s">
        <v>1065</v>
      </c>
      <c r="D34" s="148"/>
      <c r="E34" s="103">
        <v>378000</v>
      </c>
      <c r="F34" s="101"/>
      <c r="G34" s="102">
        <f>G33-E34</f>
        <v>113400</v>
      </c>
      <c r="H34" s="104"/>
      <c r="J34" s="150"/>
      <c r="K34" s="150"/>
      <c r="L34" s="150"/>
      <c r="M34" s="150"/>
      <c r="N34" s="151"/>
      <c r="O34" s="150"/>
      <c r="P34" s="152"/>
      <c r="Q34" s="150"/>
      <c r="R34" s="150"/>
    </row>
    <row r="35" spans="1:18" x14ac:dyDescent="0.3">
      <c r="A35" s="145" t="s">
        <v>1222</v>
      </c>
      <c r="B35" s="107"/>
      <c r="C35" s="84" t="s">
        <v>1221</v>
      </c>
      <c r="D35" s="148">
        <v>1134000</v>
      </c>
      <c r="E35" s="103"/>
      <c r="F35" s="101"/>
      <c r="G35" s="102">
        <f>D35</f>
        <v>1134000</v>
      </c>
      <c r="H35" s="104" t="s">
        <v>1317</v>
      </c>
      <c r="J35" s="150"/>
      <c r="K35" s="150"/>
      <c r="L35" s="150"/>
      <c r="M35" s="150"/>
      <c r="N35" s="151"/>
      <c r="O35" s="150"/>
      <c r="P35" s="152"/>
      <c r="Q35" s="150"/>
      <c r="R35" s="150"/>
    </row>
    <row r="36" spans="1:18" x14ac:dyDescent="0.3">
      <c r="A36" s="145" t="s">
        <v>1469</v>
      </c>
      <c r="B36" s="107" t="s">
        <v>1485</v>
      </c>
      <c r="C36" s="86" t="s">
        <v>1484</v>
      </c>
      <c r="D36" s="148"/>
      <c r="E36" s="103">
        <v>750207.87</v>
      </c>
      <c r="F36" s="101"/>
      <c r="G36" s="102">
        <f>G35-E36</f>
        <v>383792.13</v>
      </c>
      <c r="H36" s="104"/>
      <c r="J36" s="150"/>
      <c r="K36" s="150"/>
      <c r="L36" s="150"/>
      <c r="M36" s="150"/>
      <c r="N36" s="151"/>
      <c r="O36" s="150"/>
      <c r="P36" s="152"/>
      <c r="Q36" s="150"/>
      <c r="R36" s="150"/>
    </row>
    <row r="37" spans="1:18" x14ac:dyDescent="0.3">
      <c r="A37" s="145"/>
      <c r="B37" s="100"/>
      <c r="C37" s="84"/>
      <c r="D37" s="146"/>
      <c r="E37" s="101"/>
      <c r="F37" s="101"/>
      <c r="G37" s="102"/>
      <c r="H37" s="104"/>
      <c r="J37" s="150"/>
      <c r="K37" s="150"/>
      <c r="L37" s="150"/>
      <c r="M37" s="150"/>
      <c r="N37" s="151"/>
      <c r="O37" s="150"/>
      <c r="P37" s="152"/>
      <c r="Q37" s="150"/>
      <c r="R37" s="150"/>
    </row>
    <row r="38" spans="1:18" ht="18" thickBot="1" x14ac:dyDescent="0.35">
      <c r="A38" s="99"/>
      <c r="B38" s="155"/>
      <c r="C38" s="143" t="s">
        <v>6</v>
      </c>
      <c r="D38" s="156">
        <f>SUM(D6:D37)</f>
        <v>7484400</v>
      </c>
      <c r="E38" s="156">
        <f>SUM(E6:E37)</f>
        <v>5626407.8700000001</v>
      </c>
      <c r="F38" s="182">
        <f>SUM(F6:F37)</f>
        <v>0</v>
      </c>
      <c r="G38" s="156">
        <f>D38-E38-F38</f>
        <v>1857992.13</v>
      </c>
      <c r="H38" s="104"/>
      <c r="J38" s="150"/>
      <c r="K38" s="150"/>
      <c r="L38" s="150"/>
      <c r="M38" s="150"/>
      <c r="N38" s="151"/>
      <c r="O38" s="150"/>
      <c r="P38" s="152"/>
      <c r="Q38" s="150"/>
      <c r="R38" s="150"/>
    </row>
    <row r="39" spans="1:18" ht="18" thickTop="1" x14ac:dyDescent="0.3">
      <c r="B39" s="157"/>
      <c r="J39" s="150"/>
      <c r="K39" s="151"/>
      <c r="L39" s="150"/>
      <c r="M39" s="150"/>
      <c r="N39" s="151"/>
      <c r="O39" s="150"/>
      <c r="P39" s="152"/>
      <c r="Q39" s="150"/>
      <c r="R39" s="150"/>
    </row>
    <row r="40" spans="1:18" x14ac:dyDescent="0.3">
      <c r="J40" s="150"/>
      <c r="K40" s="150"/>
      <c r="L40" s="150"/>
      <c r="M40" s="150"/>
      <c r="N40" s="158"/>
      <c r="O40" s="150"/>
      <c r="P40" s="150"/>
      <c r="Q40" s="150"/>
      <c r="R40" s="150"/>
    </row>
    <row r="41" spans="1:18" x14ac:dyDescent="0.3">
      <c r="J41" s="150"/>
      <c r="K41" s="150"/>
      <c r="L41" s="150"/>
      <c r="M41" s="150"/>
      <c r="N41" s="150"/>
      <c r="O41" s="150"/>
      <c r="P41" s="150"/>
      <c r="Q41" s="150"/>
      <c r="R41" s="150"/>
    </row>
    <row r="42" spans="1:18" x14ac:dyDescent="0.3">
      <c r="D42" s="144"/>
    </row>
    <row r="43" spans="1:18" x14ac:dyDescent="0.3">
      <c r="D43" s="144"/>
    </row>
    <row r="44" spans="1:18" x14ac:dyDescent="0.3">
      <c r="D44" s="144"/>
    </row>
    <row r="45" spans="1:18" x14ac:dyDescent="0.3">
      <c r="D45" s="151"/>
    </row>
    <row r="46" spans="1:18" x14ac:dyDescent="0.3">
      <c r="D46" s="151"/>
    </row>
    <row r="48" spans="1:18" x14ac:dyDescent="0.3">
      <c r="D48" s="159"/>
    </row>
  </sheetData>
  <mergeCells count="2">
    <mergeCell ref="A1:G1"/>
    <mergeCell ref="A2:H2"/>
  </mergeCells>
  <pageMargins left="0.41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2" sqref="A2:H2"/>
    </sheetView>
  </sheetViews>
  <sheetFormatPr defaultRowHeight="17.25" x14ac:dyDescent="0.3"/>
  <cols>
    <col min="1" max="1" width="8.7109375" style="88" customWidth="1"/>
    <col min="2" max="2" width="8.42578125" style="88" customWidth="1"/>
    <col min="3" max="3" width="23.28515625" style="88" customWidth="1"/>
    <col min="4" max="4" width="11.7109375" style="88" customWidth="1"/>
    <col min="5" max="5" width="12.28515625" style="88" customWidth="1"/>
    <col min="6" max="6" width="8.28515625" style="88" customWidth="1"/>
    <col min="7" max="7" width="11.85546875" style="88" customWidth="1"/>
    <col min="8" max="8" width="9" style="88" customWidth="1"/>
    <col min="9" max="9" width="9.140625" style="88"/>
    <col min="10" max="10" width="11.28515625" style="88" bestFit="1" customWidth="1"/>
    <col min="11" max="11" width="11.42578125" style="88" bestFit="1" customWidth="1"/>
    <col min="12" max="12" width="10.28515625" style="88" bestFit="1" customWidth="1"/>
    <col min="13" max="13" width="9.140625" style="88"/>
    <col min="14" max="14" width="14.42578125" style="88" customWidth="1"/>
    <col min="15" max="15" width="9.140625" style="88"/>
    <col min="16" max="16" width="12.28515625" style="88" customWidth="1"/>
    <col min="17" max="17" width="11.140625" style="88" customWidth="1"/>
    <col min="18" max="16384" width="9.140625" style="88"/>
  </cols>
  <sheetData>
    <row r="1" spans="1:18" x14ac:dyDescent="0.3">
      <c r="A1" s="335" t="s">
        <v>190</v>
      </c>
      <c r="B1" s="335"/>
      <c r="C1" s="335"/>
      <c r="D1" s="335"/>
      <c r="E1" s="335"/>
      <c r="F1" s="335"/>
      <c r="G1" s="335"/>
      <c r="H1" s="87" t="s">
        <v>154</v>
      </c>
    </row>
    <row r="2" spans="1:18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18" x14ac:dyDescent="0.3">
      <c r="A3" s="87" t="s">
        <v>14</v>
      </c>
      <c r="B3" s="87"/>
      <c r="C3" s="87"/>
      <c r="D3" s="87"/>
      <c r="E3" s="87"/>
      <c r="F3" s="87"/>
      <c r="G3" s="87" t="s">
        <v>5</v>
      </c>
      <c r="H3" s="87" t="s">
        <v>125</v>
      </c>
    </row>
    <row r="4" spans="1:18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114" t="s">
        <v>3</v>
      </c>
    </row>
    <row r="5" spans="1:18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117" t="s">
        <v>17</v>
      </c>
    </row>
    <row r="6" spans="1:18" x14ac:dyDescent="0.3">
      <c r="A6" s="145" t="s">
        <v>148</v>
      </c>
      <c r="B6" s="100" t="s">
        <v>152</v>
      </c>
      <c r="C6" s="84" t="s">
        <v>153</v>
      </c>
      <c r="D6" s="146">
        <v>1701000</v>
      </c>
      <c r="E6" s="146"/>
      <c r="F6" s="101"/>
      <c r="G6" s="147">
        <f>D6</f>
        <v>1701000</v>
      </c>
      <c r="H6" s="142" t="s">
        <v>151</v>
      </c>
    </row>
    <row r="7" spans="1:18" x14ac:dyDescent="0.3">
      <c r="A7" s="145" t="s">
        <v>202</v>
      </c>
      <c r="B7" s="100" t="s">
        <v>252</v>
      </c>
      <c r="C7" s="50" t="s">
        <v>236</v>
      </c>
      <c r="D7" s="148"/>
      <c r="E7" s="160">
        <v>434700</v>
      </c>
      <c r="F7" s="103"/>
      <c r="G7" s="147">
        <f t="shared" ref="G7:G12" si="0">G6-E7</f>
        <v>1266300</v>
      </c>
      <c r="H7" s="142"/>
    </row>
    <row r="8" spans="1:18" x14ac:dyDescent="0.3">
      <c r="A8" s="99" t="s">
        <v>307</v>
      </c>
      <c r="B8" s="100" t="s">
        <v>308</v>
      </c>
      <c r="C8" s="50" t="s">
        <v>309</v>
      </c>
      <c r="D8" s="148"/>
      <c r="E8" s="160">
        <v>17955</v>
      </c>
      <c r="F8" s="103"/>
      <c r="G8" s="147">
        <f t="shared" si="0"/>
        <v>1248345</v>
      </c>
      <c r="H8" s="142"/>
    </row>
    <row r="9" spans="1:18" x14ac:dyDescent="0.3">
      <c r="A9" s="145" t="s">
        <v>570</v>
      </c>
      <c r="B9" s="100" t="s">
        <v>573</v>
      </c>
      <c r="C9" s="50" t="s">
        <v>370</v>
      </c>
      <c r="D9" s="148"/>
      <c r="E9" s="160">
        <v>287369.40999999997</v>
      </c>
      <c r="F9" s="103"/>
      <c r="G9" s="161">
        <f t="shared" si="0"/>
        <v>960975.59000000008</v>
      </c>
      <c r="H9" s="142"/>
    </row>
    <row r="10" spans="1:18" x14ac:dyDescent="0.3">
      <c r="A10" s="145" t="s">
        <v>642</v>
      </c>
      <c r="B10" s="100" t="s">
        <v>702</v>
      </c>
      <c r="C10" s="50" t="s">
        <v>640</v>
      </c>
      <c r="D10" s="146"/>
      <c r="E10" s="160">
        <v>274050</v>
      </c>
      <c r="F10" s="101"/>
      <c r="G10" s="161">
        <f t="shared" si="0"/>
        <v>686925.59000000008</v>
      </c>
      <c r="H10" s="142"/>
    </row>
    <row r="11" spans="1:18" x14ac:dyDescent="0.3">
      <c r="A11" s="145" t="s">
        <v>904</v>
      </c>
      <c r="B11" s="107" t="s">
        <v>923</v>
      </c>
      <c r="C11" s="50" t="s">
        <v>895</v>
      </c>
      <c r="D11" s="148"/>
      <c r="E11" s="160">
        <v>274050</v>
      </c>
      <c r="F11" s="103"/>
      <c r="G11" s="161">
        <f t="shared" si="0"/>
        <v>412875.59000000008</v>
      </c>
      <c r="H11" s="142"/>
    </row>
    <row r="12" spans="1:18" x14ac:dyDescent="0.3">
      <c r="A12" s="99" t="s">
        <v>1066</v>
      </c>
      <c r="B12" s="100" t="s">
        <v>1087</v>
      </c>
      <c r="C12" s="50" t="s">
        <v>1065</v>
      </c>
      <c r="D12" s="148"/>
      <c r="E12" s="160">
        <v>274050</v>
      </c>
      <c r="F12" s="103"/>
      <c r="G12" s="161">
        <f t="shared" si="0"/>
        <v>138825.59000000008</v>
      </c>
      <c r="H12" s="104"/>
      <c r="P12" s="149"/>
    </row>
    <row r="13" spans="1:18" x14ac:dyDescent="0.3">
      <c r="A13" s="99" t="s">
        <v>1199</v>
      </c>
      <c r="B13" s="100" t="s">
        <v>1207</v>
      </c>
      <c r="C13" s="84" t="s">
        <v>153</v>
      </c>
      <c r="D13" s="146">
        <v>1701000</v>
      </c>
      <c r="E13" s="146"/>
      <c r="F13" s="101"/>
      <c r="G13" s="102">
        <f>G12+D13</f>
        <v>1839825.59</v>
      </c>
      <c r="H13" s="104" t="s">
        <v>1208</v>
      </c>
      <c r="J13" s="150"/>
      <c r="K13" s="150"/>
      <c r="L13" s="150"/>
      <c r="M13" s="150"/>
      <c r="N13" s="151"/>
      <c r="O13" s="150"/>
      <c r="P13" s="152"/>
      <c r="Q13" s="150"/>
      <c r="R13" s="150"/>
    </row>
    <row r="14" spans="1:18" x14ac:dyDescent="0.3">
      <c r="A14" s="99" t="s">
        <v>1338</v>
      </c>
      <c r="B14" s="107" t="s">
        <v>1375</v>
      </c>
      <c r="C14" s="86" t="s">
        <v>1376</v>
      </c>
      <c r="D14" s="101"/>
      <c r="E14" s="198">
        <v>245700</v>
      </c>
      <c r="F14" s="101"/>
      <c r="G14" s="102">
        <f>G13-E14</f>
        <v>1594125.59</v>
      </c>
      <c r="H14" s="104"/>
      <c r="J14" s="150"/>
      <c r="K14" s="150"/>
      <c r="L14" s="150"/>
      <c r="M14" s="150"/>
      <c r="N14" s="151"/>
      <c r="O14" s="150"/>
      <c r="P14" s="152"/>
      <c r="Q14" s="150"/>
      <c r="R14" s="150"/>
    </row>
    <row r="15" spans="1:18" x14ac:dyDescent="0.3">
      <c r="A15" s="99" t="s">
        <v>1433</v>
      </c>
      <c r="B15" s="107" t="s">
        <v>1449</v>
      </c>
      <c r="C15" s="86" t="s">
        <v>1445</v>
      </c>
      <c r="D15" s="101"/>
      <c r="E15" s="198">
        <v>245700</v>
      </c>
      <c r="F15" s="101"/>
      <c r="G15" s="102">
        <f>G14-E15</f>
        <v>1348425.59</v>
      </c>
      <c r="H15" s="162"/>
      <c r="J15" s="150"/>
      <c r="K15" s="150"/>
      <c r="L15" s="150"/>
      <c r="M15" s="150"/>
      <c r="N15" s="151"/>
      <c r="O15" s="150"/>
      <c r="P15" s="152"/>
      <c r="Q15" s="150"/>
      <c r="R15" s="150"/>
    </row>
    <row r="16" spans="1:18" ht="18.75" x14ac:dyDescent="0.3">
      <c r="A16" s="99" t="s">
        <v>1360</v>
      </c>
      <c r="B16" s="107"/>
      <c r="C16" s="86" t="s">
        <v>1472</v>
      </c>
      <c r="D16" s="101"/>
      <c r="E16" s="329">
        <v>-953.96</v>
      </c>
      <c r="F16" s="101"/>
      <c r="G16" s="102">
        <f>G15-E16</f>
        <v>1349379.55</v>
      </c>
      <c r="H16" s="162"/>
      <c r="J16" s="150"/>
      <c r="K16" s="150"/>
      <c r="L16" s="150"/>
      <c r="M16" s="150"/>
      <c r="N16" s="151"/>
      <c r="O16" s="150"/>
      <c r="P16" s="152"/>
      <c r="Q16" s="150"/>
      <c r="R16" s="150"/>
    </row>
    <row r="17" spans="1:18" x14ac:dyDescent="0.3">
      <c r="A17" s="99"/>
      <c r="B17" s="107"/>
      <c r="C17" s="86"/>
      <c r="D17" s="101"/>
      <c r="E17" s="198"/>
      <c r="F17" s="101"/>
      <c r="G17" s="102"/>
      <c r="H17" s="162"/>
      <c r="J17" s="150"/>
      <c r="K17" s="150"/>
      <c r="L17" s="150"/>
      <c r="M17" s="150"/>
      <c r="N17" s="151"/>
      <c r="O17" s="150"/>
      <c r="P17" s="152"/>
      <c r="Q17" s="150"/>
      <c r="R17" s="150"/>
    </row>
    <row r="18" spans="1:18" x14ac:dyDescent="0.3">
      <c r="A18" s="99"/>
      <c r="B18" s="107"/>
      <c r="C18" s="86"/>
      <c r="D18" s="101"/>
      <c r="E18" s="198"/>
      <c r="F18" s="146"/>
      <c r="G18" s="102"/>
      <c r="H18" s="162"/>
      <c r="J18" s="150"/>
      <c r="K18" s="150"/>
      <c r="L18" s="150"/>
      <c r="M18" s="150"/>
      <c r="N18" s="151"/>
      <c r="O18" s="150"/>
      <c r="P18" s="152"/>
      <c r="Q18" s="150"/>
      <c r="R18" s="150"/>
    </row>
    <row r="19" spans="1:18" x14ac:dyDescent="0.3">
      <c r="A19" s="99"/>
      <c r="B19" s="107"/>
      <c r="C19" s="86"/>
      <c r="D19" s="153"/>
      <c r="E19" s="153"/>
      <c r="F19" s="153"/>
      <c r="G19" s="154"/>
      <c r="H19" s="162"/>
      <c r="J19" s="150"/>
      <c r="K19" s="150"/>
      <c r="L19" s="150"/>
      <c r="M19" s="150"/>
      <c r="N19" s="151"/>
      <c r="O19" s="150"/>
      <c r="P19" s="152"/>
      <c r="Q19" s="150"/>
      <c r="R19" s="150"/>
    </row>
    <row r="20" spans="1:18" ht="18" thickBot="1" x14ac:dyDescent="0.35">
      <c r="A20" s="99"/>
      <c r="B20" s="155"/>
      <c r="C20" s="143" t="s">
        <v>6</v>
      </c>
      <c r="D20" s="156">
        <f>SUM(D6:D19)</f>
        <v>3402000</v>
      </c>
      <c r="E20" s="156">
        <f>SUM(E6:E19)</f>
        <v>2052620.45</v>
      </c>
      <c r="F20" s="182">
        <f>SUM(F6:F19)</f>
        <v>0</v>
      </c>
      <c r="G20" s="156">
        <f>D20-E20-F20</f>
        <v>1349379.55</v>
      </c>
      <c r="H20" s="104"/>
      <c r="J20" s="150"/>
      <c r="K20" s="150"/>
      <c r="L20" s="150"/>
      <c r="M20" s="150"/>
      <c r="N20" s="151"/>
      <c r="O20" s="150"/>
      <c r="P20" s="152"/>
      <c r="Q20" s="150"/>
      <c r="R20" s="150"/>
    </row>
    <row r="21" spans="1:18" ht="18" thickTop="1" x14ac:dyDescent="0.3">
      <c r="B21" s="157"/>
      <c r="G21" s="144"/>
      <c r="J21" s="150"/>
      <c r="K21" s="151"/>
      <c r="L21" s="150"/>
      <c r="M21" s="150"/>
      <c r="N21" s="151"/>
      <c r="O21" s="150"/>
      <c r="P21" s="152"/>
      <c r="Q21" s="150"/>
      <c r="R21" s="150"/>
    </row>
    <row r="22" spans="1:18" x14ac:dyDescent="0.3">
      <c r="G22" s="144"/>
      <c r="H22" s="176"/>
      <c r="J22" s="150"/>
      <c r="K22" s="150"/>
      <c r="L22" s="150"/>
      <c r="M22" s="150"/>
      <c r="N22" s="158"/>
      <c r="O22" s="150"/>
      <c r="P22" s="150"/>
      <c r="Q22" s="150"/>
      <c r="R22" s="150"/>
    </row>
    <row r="23" spans="1:18" x14ac:dyDescent="0.3">
      <c r="G23" s="144"/>
      <c r="J23" s="150"/>
      <c r="K23" s="150"/>
      <c r="L23" s="150"/>
      <c r="M23" s="150"/>
      <c r="N23" s="150"/>
      <c r="O23" s="150"/>
      <c r="P23" s="150"/>
      <c r="Q23" s="150"/>
      <c r="R23" s="150"/>
    </row>
    <row r="24" spans="1:18" x14ac:dyDescent="0.3">
      <c r="D24" s="144"/>
    </row>
    <row r="25" spans="1:18" x14ac:dyDescent="0.3">
      <c r="D25" s="144"/>
    </row>
    <row r="26" spans="1:18" x14ac:dyDescent="0.3">
      <c r="D26" s="144"/>
    </row>
    <row r="27" spans="1:18" x14ac:dyDescent="0.3">
      <c r="D27" s="151"/>
    </row>
    <row r="28" spans="1:18" x14ac:dyDescent="0.3">
      <c r="D28" s="151"/>
    </row>
    <row r="30" spans="1:18" x14ac:dyDescent="0.3">
      <c r="D30" s="159"/>
    </row>
  </sheetData>
  <mergeCells count="2">
    <mergeCell ref="A1:G1"/>
    <mergeCell ref="A2:H2"/>
  </mergeCells>
  <pageMargins left="0.5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A2" sqref="A2:H2"/>
    </sheetView>
  </sheetViews>
  <sheetFormatPr defaultRowHeight="17.25" x14ac:dyDescent="0.3"/>
  <cols>
    <col min="1" max="1" width="8.7109375" style="88" customWidth="1"/>
    <col min="2" max="2" width="8.42578125" style="88" customWidth="1"/>
    <col min="3" max="3" width="26.42578125" style="88" customWidth="1"/>
    <col min="4" max="4" width="11.7109375" style="88" customWidth="1"/>
    <col min="5" max="5" width="12.28515625" style="88" customWidth="1"/>
    <col min="6" max="6" width="9.7109375" style="88" customWidth="1"/>
    <col min="7" max="7" width="11.85546875" style="88" customWidth="1"/>
    <col min="8" max="8" width="9.5703125" style="88" customWidth="1"/>
    <col min="9" max="9" width="9.140625" style="88"/>
    <col min="10" max="10" width="11.28515625" style="88" bestFit="1" customWidth="1"/>
    <col min="11" max="11" width="11.42578125" style="88" bestFit="1" customWidth="1"/>
    <col min="12" max="12" width="10.28515625" style="88" bestFit="1" customWidth="1"/>
    <col min="13" max="13" width="9.140625" style="88"/>
    <col min="14" max="14" width="14.42578125" style="88" customWidth="1"/>
    <col min="15" max="15" width="9.140625" style="88"/>
    <col min="16" max="16" width="12.28515625" style="88" customWidth="1"/>
    <col min="17" max="17" width="11.140625" style="88" customWidth="1"/>
    <col min="18" max="16384" width="9.140625" style="88"/>
  </cols>
  <sheetData>
    <row r="1" spans="1:18" x14ac:dyDescent="0.3">
      <c r="A1" s="335" t="s">
        <v>190</v>
      </c>
      <c r="B1" s="335"/>
      <c r="C1" s="335"/>
      <c r="D1" s="335"/>
      <c r="E1" s="335"/>
      <c r="F1" s="335"/>
      <c r="G1" s="335"/>
      <c r="H1" s="87" t="s">
        <v>173</v>
      </c>
    </row>
    <row r="2" spans="1:18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18" x14ac:dyDescent="0.3">
      <c r="A3" s="87" t="s">
        <v>14</v>
      </c>
      <c r="B3" s="87"/>
      <c r="C3" s="87"/>
      <c r="D3" s="87"/>
      <c r="E3" s="87"/>
      <c r="F3" s="87"/>
      <c r="G3" s="87" t="s">
        <v>5</v>
      </c>
      <c r="H3" s="87" t="s">
        <v>126</v>
      </c>
    </row>
    <row r="4" spans="1:18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114" t="s">
        <v>3</v>
      </c>
    </row>
    <row r="5" spans="1:18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117" t="s">
        <v>17</v>
      </c>
    </row>
    <row r="6" spans="1:18" x14ac:dyDescent="0.3">
      <c r="A6" s="145" t="s">
        <v>171</v>
      </c>
      <c r="B6" s="100" t="s">
        <v>174</v>
      </c>
      <c r="C6" s="84" t="s">
        <v>175</v>
      </c>
      <c r="D6" s="146">
        <v>1955000</v>
      </c>
      <c r="E6" s="146"/>
      <c r="F6" s="101"/>
      <c r="G6" s="147">
        <f>D6</f>
        <v>1955000</v>
      </c>
      <c r="H6" s="208" t="s">
        <v>114</v>
      </c>
    </row>
    <row r="7" spans="1:18" x14ac:dyDescent="0.3">
      <c r="A7" s="145" t="s">
        <v>320</v>
      </c>
      <c r="B7" s="100" t="s">
        <v>327</v>
      </c>
      <c r="C7" s="50" t="s">
        <v>326</v>
      </c>
      <c r="D7" s="148"/>
      <c r="E7" s="160">
        <v>194933.33</v>
      </c>
      <c r="F7" s="103"/>
      <c r="G7" s="102">
        <f>G6-E7</f>
        <v>1760066.67</v>
      </c>
      <c r="H7" s="142"/>
    </row>
    <row r="8" spans="1:18" x14ac:dyDescent="0.3">
      <c r="A8" s="145" t="s">
        <v>622</v>
      </c>
      <c r="B8" s="100" t="s">
        <v>736</v>
      </c>
      <c r="C8" s="50" t="s">
        <v>782</v>
      </c>
      <c r="D8" s="148"/>
      <c r="E8" s="160">
        <v>391000</v>
      </c>
      <c r="F8" s="103"/>
      <c r="G8" s="102">
        <f>G7-E8</f>
        <v>1369066.67</v>
      </c>
      <c r="H8" s="142"/>
    </row>
    <row r="9" spans="1:18" x14ac:dyDescent="0.3">
      <c r="A9" s="145" t="s">
        <v>834</v>
      </c>
      <c r="B9" s="100" t="s">
        <v>835</v>
      </c>
      <c r="C9" s="50" t="s">
        <v>836</v>
      </c>
      <c r="D9" s="148"/>
      <c r="E9" s="160">
        <v>391000</v>
      </c>
      <c r="F9" s="103"/>
      <c r="G9" s="102">
        <f>G8-E9</f>
        <v>978066.66999999993</v>
      </c>
      <c r="H9" s="142"/>
    </row>
    <row r="10" spans="1:18" x14ac:dyDescent="0.3">
      <c r="A10" s="145" t="s">
        <v>1003</v>
      </c>
      <c r="B10" s="100" t="s">
        <v>1004</v>
      </c>
      <c r="C10" s="50" t="s">
        <v>1002</v>
      </c>
      <c r="D10" s="148"/>
      <c r="E10" s="160">
        <v>391000</v>
      </c>
      <c r="F10" s="103"/>
      <c r="G10" s="102">
        <f>G9-E10</f>
        <v>587066.66999999993</v>
      </c>
      <c r="H10" s="142"/>
    </row>
    <row r="11" spans="1:18" x14ac:dyDescent="0.3">
      <c r="A11" s="145" t="s">
        <v>1311</v>
      </c>
      <c r="B11" s="100" t="s">
        <v>1314</v>
      </c>
      <c r="C11" s="50" t="s">
        <v>1315</v>
      </c>
      <c r="D11" s="148"/>
      <c r="E11" s="160">
        <v>391000</v>
      </c>
      <c r="F11" s="103"/>
      <c r="G11" s="102">
        <f>G10-E11</f>
        <v>196066.66999999993</v>
      </c>
      <c r="H11" s="142"/>
    </row>
    <row r="12" spans="1:18" x14ac:dyDescent="0.3">
      <c r="A12" s="99" t="s">
        <v>1335</v>
      </c>
      <c r="B12" s="100" t="s">
        <v>1336</v>
      </c>
      <c r="C12" s="84" t="s">
        <v>1337</v>
      </c>
      <c r="D12" s="148">
        <v>1955000</v>
      </c>
      <c r="E12" s="103"/>
      <c r="F12" s="103"/>
      <c r="G12" s="102">
        <f>G11+D12</f>
        <v>2151066.67</v>
      </c>
      <c r="H12" s="104"/>
      <c r="P12" s="149"/>
    </row>
    <row r="13" spans="1:18" x14ac:dyDescent="0.3">
      <c r="A13" s="99" t="s">
        <v>1520</v>
      </c>
      <c r="B13" s="100" t="s">
        <v>1525</v>
      </c>
      <c r="C13" s="50" t="s">
        <v>1450</v>
      </c>
      <c r="D13" s="101"/>
      <c r="E13" s="101">
        <v>189198</v>
      </c>
      <c r="F13" s="101"/>
      <c r="G13" s="102">
        <f>G12-E13</f>
        <v>1961868.67</v>
      </c>
      <c r="H13" s="104"/>
      <c r="J13" s="150"/>
      <c r="K13" s="150"/>
      <c r="L13" s="150"/>
      <c r="M13" s="150"/>
      <c r="N13" s="151"/>
      <c r="O13" s="150"/>
      <c r="P13" s="152"/>
      <c r="Q13" s="150"/>
      <c r="R13" s="150"/>
    </row>
    <row r="14" spans="1:18" x14ac:dyDescent="0.3">
      <c r="A14" s="99"/>
      <c r="B14" s="107"/>
      <c r="C14" s="211"/>
      <c r="D14" s="101"/>
      <c r="E14" s="101"/>
      <c r="F14" s="101"/>
      <c r="G14" s="102"/>
      <c r="H14" s="104"/>
      <c r="J14" s="150"/>
      <c r="K14" s="150"/>
      <c r="L14" s="150"/>
      <c r="M14" s="150"/>
      <c r="N14" s="151"/>
      <c r="O14" s="150"/>
      <c r="P14" s="152"/>
      <c r="Q14" s="150"/>
      <c r="R14" s="150"/>
    </row>
    <row r="15" spans="1:18" x14ac:dyDescent="0.3">
      <c r="A15" s="99"/>
      <c r="B15" s="107"/>
      <c r="C15" s="211"/>
      <c r="D15" s="101"/>
      <c r="E15" s="101"/>
      <c r="F15" s="101"/>
      <c r="G15" s="102"/>
      <c r="H15" s="104"/>
      <c r="J15" s="150"/>
      <c r="K15" s="150"/>
      <c r="L15" s="150"/>
      <c r="M15" s="150"/>
      <c r="N15" s="151"/>
      <c r="O15" s="150"/>
      <c r="P15" s="152"/>
      <c r="Q15" s="150"/>
      <c r="R15" s="150"/>
    </row>
    <row r="16" spans="1:18" x14ac:dyDescent="0.3">
      <c r="A16" s="99"/>
      <c r="B16" s="107"/>
      <c r="C16" s="211"/>
      <c r="D16" s="101"/>
      <c r="E16" s="101"/>
      <c r="F16" s="101"/>
      <c r="G16" s="102"/>
      <c r="H16" s="104"/>
      <c r="J16" s="150"/>
      <c r="K16" s="150"/>
      <c r="L16" s="150"/>
      <c r="M16" s="150"/>
      <c r="N16" s="151"/>
      <c r="O16" s="150"/>
      <c r="P16" s="152"/>
      <c r="Q16" s="150"/>
      <c r="R16" s="150"/>
    </row>
    <row r="17" spans="1:18" x14ac:dyDescent="0.3">
      <c r="A17" s="99"/>
      <c r="B17" s="107"/>
      <c r="C17" s="211"/>
      <c r="D17" s="101"/>
      <c r="E17" s="101"/>
      <c r="F17" s="146"/>
      <c r="G17" s="102">
        <f>G16-E17-F17</f>
        <v>0</v>
      </c>
      <c r="H17" s="104"/>
      <c r="J17" s="150"/>
      <c r="K17" s="150"/>
      <c r="L17" s="150"/>
      <c r="M17" s="150"/>
      <c r="N17" s="151"/>
      <c r="O17" s="150"/>
      <c r="P17" s="152"/>
      <c r="Q17" s="150"/>
      <c r="R17" s="150"/>
    </row>
    <row r="18" spans="1:18" x14ac:dyDescent="0.3">
      <c r="A18" s="99"/>
      <c r="B18" s="107"/>
      <c r="C18" s="86"/>
      <c r="D18" s="153"/>
      <c r="E18" s="153"/>
      <c r="F18" s="153"/>
      <c r="G18" s="154"/>
      <c r="H18" s="162"/>
      <c r="J18" s="150"/>
      <c r="K18" s="150"/>
      <c r="L18" s="150"/>
      <c r="M18" s="150"/>
      <c r="N18" s="151"/>
      <c r="O18" s="150"/>
      <c r="P18" s="152"/>
      <c r="Q18" s="150"/>
      <c r="R18" s="150"/>
    </row>
    <row r="19" spans="1:18" ht="18" thickBot="1" x14ac:dyDescent="0.35">
      <c r="A19" s="99"/>
      <c r="B19" s="155"/>
      <c r="C19" s="143" t="s">
        <v>6</v>
      </c>
      <c r="D19" s="156">
        <f>SUM(D6:D18)</f>
        <v>3910000</v>
      </c>
      <c r="E19" s="156">
        <f>SUM(E6:E18)</f>
        <v>1948131.33</v>
      </c>
      <c r="F19" s="156">
        <f>SUM(F6:F18)</f>
        <v>0</v>
      </c>
      <c r="G19" s="156">
        <f>D19-E19-F19</f>
        <v>1961868.67</v>
      </c>
      <c r="H19" s="175"/>
      <c r="J19" s="150"/>
      <c r="K19" s="150"/>
      <c r="L19" s="150"/>
      <c r="M19" s="150"/>
      <c r="N19" s="151"/>
      <c r="O19" s="150"/>
      <c r="P19" s="152"/>
      <c r="Q19" s="150"/>
      <c r="R19" s="150"/>
    </row>
    <row r="20" spans="1:18" ht="18" thickTop="1" x14ac:dyDescent="0.3">
      <c r="B20" s="157"/>
      <c r="J20" s="150"/>
      <c r="K20" s="151"/>
      <c r="L20" s="150"/>
      <c r="M20" s="150"/>
      <c r="N20" s="151"/>
      <c r="O20" s="150"/>
      <c r="P20" s="152"/>
      <c r="Q20" s="150"/>
      <c r="R20" s="150"/>
    </row>
    <row r="21" spans="1:18" x14ac:dyDescent="0.3">
      <c r="J21" s="150"/>
      <c r="K21" s="158"/>
      <c r="L21" s="150"/>
      <c r="M21" s="150"/>
      <c r="N21" s="158"/>
      <c r="O21" s="150"/>
      <c r="P21" s="150"/>
      <c r="Q21" s="150"/>
      <c r="R21" s="150"/>
    </row>
    <row r="22" spans="1:18" x14ac:dyDescent="0.3">
      <c r="J22" s="150"/>
      <c r="K22" s="150"/>
      <c r="L22" s="150"/>
      <c r="M22" s="150"/>
      <c r="N22" s="150"/>
      <c r="O22" s="150"/>
      <c r="P22" s="150"/>
      <c r="Q22" s="150"/>
      <c r="R22" s="150"/>
    </row>
    <row r="23" spans="1:18" x14ac:dyDescent="0.3">
      <c r="D23" s="144"/>
    </row>
    <row r="24" spans="1:18" x14ac:dyDescent="0.3">
      <c r="D24" s="144"/>
    </row>
    <row r="25" spans="1:18" x14ac:dyDescent="0.3">
      <c r="D25" s="144"/>
    </row>
    <row r="26" spans="1:18" x14ac:dyDescent="0.3">
      <c r="D26" s="151"/>
    </row>
    <row r="27" spans="1:18" x14ac:dyDescent="0.3">
      <c r="D27" s="151"/>
    </row>
    <row r="29" spans="1:18" x14ac:dyDescent="0.3">
      <c r="D29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D17" sqref="D17"/>
    </sheetView>
  </sheetViews>
  <sheetFormatPr defaultRowHeight="17.25" x14ac:dyDescent="0.3"/>
  <cols>
    <col min="1" max="1" width="8.7109375" style="88" customWidth="1"/>
    <col min="2" max="2" width="8.42578125" style="88" customWidth="1"/>
    <col min="3" max="3" width="29.28515625" style="88" customWidth="1"/>
    <col min="4" max="4" width="11.7109375" style="88" customWidth="1"/>
    <col min="5" max="5" width="12.28515625" style="88" customWidth="1"/>
    <col min="6" max="6" width="7.28515625" style="88" customWidth="1"/>
    <col min="7" max="7" width="11.85546875" style="88" customWidth="1"/>
    <col min="8" max="8" width="9.5703125" style="88" customWidth="1"/>
    <col min="9" max="9" width="9.140625" style="88"/>
    <col min="10" max="10" width="11.28515625" style="88" bestFit="1" customWidth="1"/>
    <col min="11" max="11" width="11.42578125" style="88" bestFit="1" customWidth="1"/>
    <col min="12" max="12" width="10.28515625" style="88" bestFit="1" customWidth="1"/>
    <col min="13" max="13" width="9.140625" style="88"/>
    <col min="14" max="14" width="14.42578125" style="88" customWidth="1"/>
    <col min="15" max="15" width="9.140625" style="88"/>
    <col min="16" max="16" width="12.28515625" style="88" customWidth="1"/>
    <col min="17" max="17" width="11.140625" style="88" customWidth="1"/>
    <col min="18" max="16384" width="9.140625" style="88"/>
  </cols>
  <sheetData>
    <row r="1" spans="1:18" x14ac:dyDescent="0.3">
      <c r="A1" s="335" t="s">
        <v>190</v>
      </c>
      <c r="B1" s="335"/>
      <c r="C1" s="335"/>
      <c r="D1" s="335"/>
      <c r="E1" s="335"/>
      <c r="F1" s="335"/>
      <c r="G1" s="335"/>
      <c r="H1" s="87" t="s">
        <v>140</v>
      </c>
    </row>
    <row r="2" spans="1:18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18" x14ac:dyDescent="0.3">
      <c r="A3" s="87" t="s">
        <v>14</v>
      </c>
      <c r="B3" s="87"/>
      <c r="C3" s="87"/>
      <c r="D3" s="87"/>
      <c r="E3" s="87"/>
      <c r="F3" s="87"/>
      <c r="G3" s="87" t="s">
        <v>5</v>
      </c>
      <c r="H3" s="87" t="s">
        <v>872</v>
      </c>
    </row>
    <row r="4" spans="1:18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114" t="s">
        <v>3</v>
      </c>
    </row>
    <row r="5" spans="1:18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117" t="s">
        <v>17</v>
      </c>
    </row>
    <row r="6" spans="1:18" x14ac:dyDescent="0.3">
      <c r="A6" s="145" t="s">
        <v>867</v>
      </c>
      <c r="B6" s="100" t="s">
        <v>873</v>
      </c>
      <c r="C6" s="84" t="s">
        <v>874</v>
      </c>
      <c r="D6" s="146">
        <v>61951</v>
      </c>
      <c r="E6" s="146"/>
      <c r="F6" s="101"/>
      <c r="G6" s="147">
        <f>D6</f>
        <v>61951</v>
      </c>
      <c r="H6" s="208" t="s">
        <v>151</v>
      </c>
    </row>
    <row r="7" spans="1:18" x14ac:dyDescent="0.3">
      <c r="A7" s="145"/>
      <c r="B7" s="100" t="s">
        <v>748</v>
      </c>
      <c r="C7" s="50" t="s">
        <v>1219</v>
      </c>
      <c r="D7" s="148"/>
      <c r="E7" s="160">
        <v>61951</v>
      </c>
      <c r="F7" s="103"/>
      <c r="G7" s="266">
        <v>0</v>
      </c>
      <c r="H7" s="142"/>
    </row>
    <row r="8" spans="1:18" x14ac:dyDescent="0.3">
      <c r="A8" s="145" t="s">
        <v>904</v>
      </c>
      <c r="B8" s="100" t="s">
        <v>905</v>
      </c>
      <c r="C8" s="50" t="s">
        <v>1085</v>
      </c>
      <c r="D8" s="148">
        <v>1332</v>
      </c>
      <c r="E8" s="160"/>
      <c r="F8" s="103"/>
      <c r="G8" s="102">
        <f>D8</f>
        <v>1332</v>
      </c>
      <c r="H8" s="142"/>
    </row>
    <row r="9" spans="1:18" x14ac:dyDescent="0.3">
      <c r="A9" s="99" t="s">
        <v>1081</v>
      </c>
      <c r="B9" s="107" t="s">
        <v>1082</v>
      </c>
      <c r="C9" s="50" t="s">
        <v>1084</v>
      </c>
      <c r="D9" s="148">
        <v>4620</v>
      </c>
      <c r="E9" s="160"/>
      <c r="F9" s="103"/>
      <c r="G9" s="102">
        <f>G8+D9</f>
        <v>5952</v>
      </c>
      <c r="H9" s="142"/>
    </row>
    <row r="10" spans="1:18" x14ac:dyDescent="0.3">
      <c r="A10" s="145"/>
      <c r="B10" s="100" t="s">
        <v>748</v>
      </c>
      <c r="C10" s="50" t="s">
        <v>1219</v>
      </c>
      <c r="D10" s="148"/>
      <c r="E10" s="148">
        <v>5952</v>
      </c>
      <c r="F10" s="103"/>
      <c r="G10" s="266">
        <f>G9-E10</f>
        <v>0</v>
      </c>
      <c r="H10" s="142"/>
    </row>
    <row r="11" spans="1:18" x14ac:dyDescent="0.3">
      <c r="A11" s="99" t="s">
        <v>1199</v>
      </c>
      <c r="B11" s="100" t="s">
        <v>1200</v>
      </c>
      <c r="C11" s="50" t="s">
        <v>1204</v>
      </c>
      <c r="D11" s="148">
        <v>39700</v>
      </c>
      <c r="E11" s="148"/>
      <c r="F11" s="103"/>
      <c r="G11" s="102">
        <f>G10+D11</f>
        <v>39700</v>
      </c>
      <c r="H11" s="142"/>
    </row>
    <row r="12" spans="1:18" ht="18.75" x14ac:dyDescent="0.3">
      <c r="A12" s="99"/>
      <c r="B12" s="100" t="s">
        <v>748</v>
      </c>
      <c r="C12" s="50" t="s">
        <v>1219</v>
      </c>
      <c r="D12" s="148"/>
      <c r="E12" s="103">
        <v>39700</v>
      </c>
      <c r="F12" s="103"/>
      <c r="G12" s="311">
        <f>G11-E12</f>
        <v>0</v>
      </c>
      <c r="H12" s="104"/>
      <c r="P12" s="149"/>
    </row>
    <row r="13" spans="1:18" x14ac:dyDescent="0.3">
      <c r="A13" s="145" t="s">
        <v>1215</v>
      </c>
      <c r="B13" s="107" t="s">
        <v>1216</v>
      </c>
      <c r="C13" s="50" t="s">
        <v>1218</v>
      </c>
      <c r="D13" s="101">
        <v>1804</v>
      </c>
      <c r="E13" s="101"/>
      <c r="F13" s="101"/>
      <c r="G13" s="102">
        <f>D13</f>
        <v>1804</v>
      </c>
      <c r="H13" s="104"/>
      <c r="J13" s="150"/>
      <c r="K13" s="150"/>
      <c r="L13" s="150"/>
      <c r="M13" s="150"/>
      <c r="N13" s="151"/>
      <c r="O13" s="150"/>
      <c r="P13" s="152"/>
      <c r="Q13" s="150"/>
      <c r="R13" s="150"/>
    </row>
    <row r="14" spans="1:18" x14ac:dyDescent="0.3">
      <c r="A14" s="99"/>
      <c r="B14" s="100" t="s">
        <v>748</v>
      </c>
      <c r="C14" s="50" t="s">
        <v>1219</v>
      </c>
      <c r="D14" s="101"/>
      <c r="E14" s="101">
        <v>1804</v>
      </c>
      <c r="F14" s="101"/>
      <c r="G14" s="266">
        <f>G13-E14</f>
        <v>0</v>
      </c>
      <c r="H14" s="104"/>
      <c r="J14" s="150"/>
      <c r="K14" s="150"/>
      <c r="L14" s="150"/>
      <c r="M14" s="150"/>
      <c r="N14" s="151"/>
      <c r="O14" s="150"/>
      <c r="P14" s="152"/>
      <c r="Q14" s="150"/>
      <c r="R14" s="150"/>
    </row>
    <row r="15" spans="1:18" x14ac:dyDescent="0.3">
      <c r="A15" s="99"/>
      <c r="B15" s="107"/>
      <c r="C15" s="211"/>
      <c r="D15" s="101"/>
      <c r="E15" s="101"/>
      <c r="F15" s="101"/>
      <c r="G15" s="102"/>
      <c r="H15" s="104"/>
      <c r="J15" s="150"/>
      <c r="K15" s="150"/>
      <c r="L15" s="150"/>
      <c r="M15" s="150"/>
      <c r="N15" s="151"/>
      <c r="O15" s="150"/>
      <c r="P15" s="152"/>
      <c r="Q15" s="150"/>
      <c r="R15" s="150"/>
    </row>
    <row r="16" spans="1:18" x14ac:dyDescent="0.3">
      <c r="A16" s="99"/>
      <c r="B16" s="107"/>
      <c r="C16" s="211"/>
      <c r="D16" s="101"/>
      <c r="E16" s="101"/>
      <c r="F16" s="101"/>
      <c r="G16" s="102"/>
      <c r="H16" s="104"/>
      <c r="J16" s="150"/>
      <c r="K16" s="150"/>
      <c r="L16" s="150"/>
      <c r="M16" s="150"/>
      <c r="N16" s="151"/>
      <c r="O16" s="150"/>
      <c r="P16" s="152"/>
      <c r="Q16" s="150"/>
      <c r="R16" s="150"/>
    </row>
    <row r="17" spans="1:18" x14ac:dyDescent="0.3">
      <c r="A17" s="99"/>
      <c r="B17" s="107"/>
      <c r="C17" s="211"/>
      <c r="D17" s="101"/>
      <c r="E17" s="101"/>
      <c r="F17" s="146"/>
      <c r="G17" s="102">
        <f>G16-E17-F17</f>
        <v>0</v>
      </c>
      <c r="H17" s="104"/>
      <c r="J17" s="150"/>
      <c r="K17" s="150"/>
      <c r="L17" s="150"/>
      <c r="M17" s="150"/>
      <c r="N17" s="151"/>
      <c r="O17" s="150"/>
      <c r="P17" s="152"/>
      <c r="Q17" s="150"/>
      <c r="R17" s="150"/>
    </row>
    <row r="18" spans="1:18" x14ac:dyDescent="0.3">
      <c r="A18" s="99"/>
      <c r="B18" s="107"/>
      <c r="C18" s="86"/>
      <c r="D18" s="153"/>
      <c r="E18" s="153"/>
      <c r="F18" s="153"/>
      <c r="G18" s="154"/>
      <c r="H18" s="162"/>
      <c r="J18" s="151"/>
      <c r="K18" s="150"/>
      <c r="L18" s="150"/>
      <c r="M18" s="150"/>
      <c r="N18" s="151"/>
      <c r="O18" s="150"/>
      <c r="P18" s="152"/>
      <c r="Q18" s="150"/>
      <c r="R18" s="150"/>
    </row>
    <row r="19" spans="1:18" ht="18" thickBot="1" x14ac:dyDescent="0.35">
      <c r="A19" s="99"/>
      <c r="B19" s="155"/>
      <c r="C19" s="143" t="s">
        <v>6</v>
      </c>
      <c r="D19" s="156">
        <f>SUM(D6:D18)</f>
        <v>109407</v>
      </c>
      <c r="E19" s="156">
        <f>SUM(E6:E18)</f>
        <v>109407</v>
      </c>
      <c r="F19" s="156">
        <f>SUM(F6:F18)</f>
        <v>0</v>
      </c>
      <c r="G19" s="156">
        <f>D19-E19-F19</f>
        <v>0</v>
      </c>
      <c r="H19" s="175"/>
      <c r="J19" s="151"/>
      <c r="K19" s="150"/>
      <c r="L19" s="150"/>
      <c r="M19" s="150"/>
      <c r="N19" s="151"/>
      <c r="O19" s="150"/>
      <c r="P19" s="152"/>
      <c r="Q19" s="150"/>
      <c r="R19" s="150"/>
    </row>
    <row r="20" spans="1:18" ht="18" thickTop="1" x14ac:dyDescent="0.3">
      <c r="B20" s="157"/>
      <c r="J20" s="151"/>
      <c r="K20" s="151"/>
      <c r="L20" s="150"/>
      <c r="M20" s="150"/>
      <c r="N20" s="151"/>
      <c r="O20" s="150"/>
      <c r="P20" s="152"/>
      <c r="Q20" s="150"/>
      <c r="R20" s="150"/>
    </row>
    <row r="21" spans="1:18" x14ac:dyDescent="0.3">
      <c r="J21" s="150"/>
      <c r="K21" s="158"/>
      <c r="L21" s="150"/>
      <c r="M21" s="150"/>
      <c r="N21" s="158"/>
      <c r="O21" s="150"/>
      <c r="P21" s="150"/>
      <c r="Q21" s="150"/>
      <c r="R21" s="150"/>
    </row>
    <row r="22" spans="1:18" x14ac:dyDescent="0.3">
      <c r="J22" s="150"/>
      <c r="K22" s="150"/>
      <c r="L22" s="150"/>
      <c r="M22" s="150"/>
      <c r="N22" s="150"/>
      <c r="O22" s="150"/>
      <c r="P22" s="150"/>
      <c r="Q22" s="150"/>
      <c r="R22" s="150"/>
    </row>
    <row r="23" spans="1:18" x14ac:dyDescent="0.3">
      <c r="D23" s="144"/>
    </row>
    <row r="24" spans="1:18" x14ac:dyDescent="0.3">
      <c r="D24" s="144"/>
    </row>
    <row r="25" spans="1:18" x14ac:dyDescent="0.3">
      <c r="D25" s="144"/>
    </row>
    <row r="26" spans="1:18" x14ac:dyDescent="0.3">
      <c r="D26" s="151"/>
    </row>
    <row r="27" spans="1:18" x14ac:dyDescent="0.3">
      <c r="D27" s="151"/>
    </row>
    <row r="29" spans="1:18" x14ac:dyDescent="0.3">
      <c r="D29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E20" sqref="E20"/>
    </sheetView>
  </sheetViews>
  <sheetFormatPr defaultRowHeight="18.75" x14ac:dyDescent="0.3"/>
  <cols>
    <col min="1" max="1" width="7.85546875" style="88" customWidth="1"/>
    <col min="2" max="2" width="8.42578125" style="88" customWidth="1"/>
    <col min="3" max="3" width="27.140625" style="88" customWidth="1"/>
    <col min="4" max="4" width="12" style="88" customWidth="1"/>
    <col min="5" max="5" width="11.85546875" style="88" customWidth="1"/>
    <col min="6" max="6" width="6.140625" style="88" customWidth="1"/>
    <col min="7" max="7" width="12.85546875" style="88" customWidth="1"/>
    <col min="8" max="8" width="10.28515625" style="88" customWidth="1"/>
    <col min="9" max="9" width="11.7109375" style="88" customWidth="1"/>
    <col min="10" max="10" width="11.28515625" style="1" bestFit="1" customWidth="1"/>
    <col min="11" max="11" width="9.5703125" style="88" bestFit="1" customWidth="1"/>
    <col min="12" max="12" width="14" style="144" bestFit="1" customWidth="1"/>
    <col min="13" max="13" width="14.7109375" style="88" customWidth="1"/>
    <col min="14" max="14" width="14.42578125" style="88" customWidth="1"/>
    <col min="15" max="15" width="9.140625" style="88"/>
    <col min="16" max="16" width="11.5703125" style="88" bestFit="1" customWidth="1"/>
    <col min="17" max="16384" width="9.140625" style="88"/>
  </cols>
  <sheetData>
    <row r="1" spans="1:8" x14ac:dyDescent="0.3">
      <c r="A1" s="335" t="s">
        <v>190</v>
      </c>
      <c r="B1" s="335"/>
      <c r="C1" s="335"/>
      <c r="D1" s="335"/>
      <c r="E1" s="335"/>
      <c r="F1" s="335"/>
      <c r="G1" s="335"/>
      <c r="H1" s="87" t="s">
        <v>145</v>
      </c>
    </row>
    <row r="2" spans="1:8" x14ac:dyDescent="0.3">
      <c r="A2" s="335" t="s">
        <v>1501</v>
      </c>
      <c r="B2" s="335"/>
      <c r="C2" s="335"/>
      <c r="D2" s="335"/>
      <c r="E2" s="335"/>
      <c r="F2" s="335"/>
      <c r="G2" s="335"/>
      <c r="H2" s="335"/>
    </row>
    <row r="3" spans="1:8" x14ac:dyDescent="0.3">
      <c r="A3" s="87" t="s">
        <v>14</v>
      </c>
      <c r="B3" s="87"/>
      <c r="C3" s="87"/>
      <c r="D3" s="87"/>
      <c r="E3" s="87"/>
      <c r="F3" s="87"/>
      <c r="G3" s="87" t="s">
        <v>155</v>
      </c>
      <c r="H3" s="87" t="s">
        <v>156</v>
      </c>
    </row>
    <row r="4" spans="1:8" x14ac:dyDescent="0.3">
      <c r="A4" s="163"/>
      <c r="B4" s="163"/>
      <c r="C4" s="163"/>
      <c r="D4" s="163"/>
      <c r="E4" s="164"/>
      <c r="F4" s="164"/>
      <c r="G4" s="163"/>
      <c r="H4" s="163"/>
    </row>
    <row r="5" spans="1:8" x14ac:dyDescent="0.3">
      <c r="A5" s="168" t="s">
        <v>16</v>
      </c>
      <c r="B5" s="168" t="s">
        <v>12</v>
      </c>
      <c r="C5" s="165" t="s">
        <v>4</v>
      </c>
      <c r="D5" s="93" t="s">
        <v>15</v>
      </c>
      <c r="E5" s="92" t="s">
        <v>1</v>
      </c>
      <c r="F5" s="92" t="s">
        <v>32</v>
      </c>
      <c r="G5" s="93" t="s">
        <v>2</v>
      </c>
      <c r="H5" s="169" t="s">
        <v>17</v>
      </c>
    </row>
    <row r="6" spans="1:8" x14ac:dyDescent="0.3">
      <c r="A6" s="94"/>
      <c r="B6" s="94"/>
      <c r="C6" s="95"/>
      <c r="D6" s="97" t="s">
        <v>0</v>
      </c>
      <c r="E6" s="96"/>
      <c r="F6" s="96" t="s">
        <v>31</v>
      </c>
      <c r="G6" s="97"/>
      <c r="H6" s="170"/>
    </row>
    <row r="7" spans="1:8" x14ac:dyDescent="0.3">
      <c r="A7" s="145" t="s">
        <v>148</v>
      </c>
      <c r="B7" s="100" t="s">
        <v>150</v>
      </c>
      <c r="C7" s="84" t="s">
        <v>128</v>
      </c>
      <c r="D7" s="108">
        <v>200202</v>
      </c>
      <c r="E7" s="103"/>
      <c r="F7" s="103"/>
      <c r="G7" s="102">
        <f>D7-E7-F7</f>
        <v>200202</v>
      </c>
      <c r="H7" s="104" t="s">
        <v>151</v>
      </c>
    </row>
    <row r="8" spans="1:8" x14ac:dyDescent="0.3">
      <c r="A8" s="145" t="s">
        <v>235</v>
      </c>
      <c r="B8" s="100" t="s">
        <v>245</v>
      </c>
      <c r="C8" s="50" t="s">
        <v>236</v>
      </c>
      <c r="D8" s="108"/>
      <c r="E8" s="103">
        <v>130583</v>
      </c>
      <c r="F8" s="148"/>
      <c r="G8" s="102">
        <f>G7-E8</f>
        <v>69619</v>
      </c>
      <c r="H8" s="104"/>
    </row>
    <row r="9" spans="1:8" x14ac:dyDescent="0.3">
      <c r="A9" s="99" t="s">
        <v>574</v>
      </c>
      <c r="B9" s="100" t="s">
        <v>576</v>
      </c>
      <c r="C9" s="50" t="s">
        <v>370</v>
      </c>
      <c r="D9" s="108"/>
      <c r="E9" s="103">
        <v>65120</v>
      </c>
      <c r="F9" s="148"/>
      <c r="G9" s="102">
        <f>G8-E9</f>
        <v>4499</v>
      </c>
      <c r="H9" s="104"/>
    </row>
    <row r="10" spans="1:8" x14ac:dyDescent="0.3">
      <c r="A10" s="99" t="s">
        <v>574</v>
      </c>
      <c r="B10" s="100" t="s">
        <v>578</v>
      </c>
      <c r="C10" s="84" t="s">
        <v>580</v>
      </c>
      <c r="D10" s="108">
        <v>174800</v>
      </c>
      <c r="E10" s="103"/>
      <c r="F10" s="148"/>
      <c r="G10" s="102">
        <f>G9+D10</f>
        <v>179299</v>
      </c>
      <c r="H10" s="104"/>
    </row>
    <row r="11" spans="1:8" x14ac:dyDescent="0.3">
      <c r="A11" s="99" t="s">
        <v>642</v>
      </c>
      <c r="B11" s="100" t="s">
        <v>697</v>
      </c>
      <c r="C11" s="50" t="s">
        <v>640</v>
      </c>
      <c r="D11" s="108"/>
      <c r="E11" s="103">
        <v>65501</v>
      </c>
      <c r="F11" s="148"/>
      <c r="G11" s="102">
        <f>G10-E11</f>
        <v>113798</v>
      </c>
      <c r="H11" s="104"/>
    </row>
    <row r="12" spans="1:8" x14ac:dyDescent="0.3">
      <c r="A12" s="145" t="s">
        <v>904</v>
      </c>
      <c r="B12" s="107" t="s">
        <v>922</v>
      </c>
      <c r="C12" s="50" t="s">
        <v>895</v>
      </c>
      <c r="D12" s="108"/>
      <c r="E12" s="103">
        <v>66750</v>
      </c>
      <c r="F12" s="103"/>
      <c r="G12" s="102">
        <f>G11-E12</f>
        <v>47048</v>
      </c>
      <c r="H12" s="104"/>
    </row>
    <row r="13" spans="1:8" x14ac:dyDescent="0.3">
      <c r="A13" s="99" t="s">
        <v>1199</v>
      </c>
      <c r="B13" s="100" t="s">
        <v>1200</v>
      </c>
      <c r="C13" s="84" t="s">
        <v>1203</v>
      </c>
      <c r="D13" s="108">
        <v>221100</v>
      </c>
      <c r="E13" s="103"/>
      <c r="F13" s="103"/>
      <c r="G13" s="102">
        <f>G12+D13</f>
        <v>268148</v>
      </c>
      <c r="H13" s="104" t="s">
        <v>1209</v>
      </c>
    </row>
    <row r="14" spans="1:8" x14ac:dyDescent="0.3">
      <c r="A14" s="99" t="s">
        <v>1199</v>
      </c>
      <c r="B14" s="100" t="s">
        <v>1205</v>
      </c>
      <c r="C14" s="50" t="s">
        <v>1201</v>
      </c>
      <c r="D14" s="108"/>
      <c r="E14" s="103">
        <v>135000</v>
      </c>
      <c r="F14" s="103"/>
      <c r="G14" s="102">
        <f>G13-E14</f>
        <v>133148</v>
      </c>
      <c r="H14" s="104"/>
    </row>
    <row r="15" spans="1:8" x14ac:dyDescent="0.3">
      <c r="A15" s="99" t="s">
        <v>1433</v>
      </c>
      <c r="B15" s="100" t="s">
        <v>1447</v>
      </c>
      <c r="C15" s="50" t="s">
        <v>1445</v>
      </c>
      <c r="D15" s="108"/>
      <c r="E15" s="103">
        <v>64500</v>
      </c>
      <c r="F15" s="103"/>
      <c r="G15" s="102">
        <f>G14-E15</f>
        <v>68648</v>
      </c>
      <c r="H15" s="104"/>
    </row>
    <row r="16" spans="1:8" x14ac:dyDescent="0.3">
      <c r="A16" s="99" t="s">
        <v>1469</v>
      </c>
      <c r="B16" s="100"/>
      <c r="C16" s="50" t="s">
        <v>1477</v>
      </c>
      <c r="D16" s="101"/>
      <c r="E16" s="83">
        <v>-267</v>
      </c>
      <c r="F16" s="103"/>
      <c r="G16" s="102">
        <f>G15-E16</f>
        <v>68915</v>
      </c>
      <c r="H16" s="104"/>
    </row>
    <row r="17" spans="1:14" x14ac:dyDescent="0.3">
      <c r="A17" s="99"/>
      <c r="B17" s="100"/>
      <c r="C17" s="50"/>
      <c r="D17" s="103"/>
      <c r="E17" s="330"/>
      <c r="F17" s="103"/>
      <c r="G17" s="102"/>
      <c r="H17" s="104"/>
    </row>
    <row r="18" spans="1:14" x14ac:dyDescent="0.3">
      <c r="A18" s="99"/>
      <c r="B18" s="100"/>
      <c r="C18" s="50"/>
      <c r="D18" s="103"/>
      <c r="E18" s="330"/>
      <c r="F18" s="103"/>
      <c r="G18" s="102"/>
      <c r="H18" s="104"/>
    </row>
    <row r="19" spans="1:14" x14ac:dyDescent="0.3">
      <c r="A19" s="99" t="s">
        <v>171</v>
      </c>
      <c r="B19" s="100" t="s">
        <v>172</v>
      </c>
      <c r="C19" s="84" t="s">
        <v>129</v>
      </c>
      <c r="D19" s="108">
        <v>840160</v>
      </c>
      <c r="E19" s="103"/>
      <c r="F19" s="103"/>
      <c r="G19" s="102">
        <v>840160</v>
      </c>
      <c r="H19" s="104" t="s">
        <v>157</v>
      </c>
    </row>
    <row r="20" spans="1:14" x14ac:dyDescent="0.3">
      <c r="A20" s="145" t="s">
        <v>246</v>
      </c>
      <c r="B20" s="100" t="s">
        <v>247</v>
      </c>
      <c r="C20" s="50" t="s">
        <v>236</v>
      </c>
      <c r="D20" s="108"/>
      <c r="E20" s="103">
        <v>273400</v>
      </c>
      <c r="F20" s="103"/>
      <c r="G20" s="102">
        <f t="shared" ref="G20:G27" si="0">G19-E20</f>
        <v>566760</v>
      </c>
      <c r="H20" s="104"/>
    </row>
    <row r="21" spans="1:14" x14ac:dyDescent="0.3">
      <c r="A21" s="99" t="s">
        <v>359</v>
      </c>
      <c r="B21" s="100" t="s">
        <v>369</v>
      </c>
      <c r="C21" s="50" t="s">
        <v>370</v>
      </c>
      <c r="D21" s="108"/>
      <c r="E21" s="103">
        <v>140200</v>
      </c>
      <c r="F21" s="103"/>
      <c r="G21" s="102">
        <f t="shared" si="0"/>
        <v>426560</v>
      </c>
      <c r="H21" s="104"/>
    </row>
    <row r="22" spans="1:14" x14ac:dyDescent="0.3">
      <c r="A22" s="99" t="s">
        <v>638</v>
      </c>
      <c r="B22" s="100" t="s">
        <v>639</v>
      </c>
      <c r="C22" s="50" t="s">
        <v>640</v>
      </c>
      <c r="D22" s="108"/>
      <c r="E22" s="103">
        <v>137200</v>
      </c>
      <c r="F22" s="103"/>
      <c r="G22" s="102">
        <f t="shared" si="0"/>
        <v>289360</v>
      </c>
      <c r="H22" s="104"/>
      <c r="L22" s="88"/>
    </row>
    <row r="23" spans="1:14" x14ac:dyDescent="0.3">
      <c r="A23" s="99" t="s">
        <v>860</v>
      </c>
      <c r="B23" s="100" t="s">
        <v>878</v>
      </c>
      <c r="C23" s="50" t="s">
        <v>879</v>
      </c>
      <c r="D23" s="108"/>
      <c r="E23" s="103">
        <v>80964</v>
      </c>
      <c r="F23" s="103"/>
      <c r="G23" s="102">
        <f t="shared" si="0"/>
        <v>208396</v>
      </c>
      <c r="H23" s="104"/>
      <c r="L23" s="88"/>
    </row>
    <row r="24" spans="1:14" x14ac:dyDescent="0.3">
      <c r="A24" s="99" t="s">
        <v>888</v>
      </c>
      <c r="B24" s="100" t="s">
        <v>894</v>
      </c>
      <c r="C24" s="50" t="s">
        <v>895</v>
      </c>
      <c r="D24" s="108"/>
      <c r="E24" s="103">
        <v>136000</v>
      </c>
      <c r="F24" s="103"/>
      <c r="G24" s="102">
        <f t="shared" si="0"/>
        <v>72396</v>
      </c>
      <c r="H24" s="104"/>
      <c r="L24" s="88"/>
    </row>
    <row r="25" spans="1:14" x14ac:dyDescent="0.3">
      <c r="A25" s="99" t="s">
        <v>981</v>
      </c>
      <c r="B25" s="100" t="s">
        <v>982</v>
      </c>
      <c r="C25" s="50" t="s">
        <v>983</v>
      </c>
      <c r="D25" s="108"/>
      <c r="E25" s="103">
        <v>24600</v>
      </c>
      <c r="F25" s="103"/>
      <c r="G25" s="102">
        <f t="shared" si="0"/>
        <v>47796</v>
      </c>
      <c r="H25" s="104"/>
      <c r="L25" s="88"/>
    </row>
    <row r="26" spans="1:14" x14ac:dyDescent="0.3">
      <c r="A26" s="99" t="s">
        <v>988</v>
      </c>
      <c r="B26" s="100" t="s">
        <v>990</v>
      </c>
      <c r="C26" s="50" t="s">
        <v>991</v>
      </c>
      <c r="D26" s="108"/>
      <c r="E26" s="103">
        <v>7000</v>
      </c>
      <c r="F26" s="103"/>
      <c r="G26" s="102">
        <f t="shared" si="0"/>
        <v>40796</v>
      </c>
      <c r="H26" s="104"/>
      <c r="L26" s="88"/>
    </row>
    <row r="27" spans="1:14" x14ac:dyDescent="0.3">
      <c r="A27" s="99" t="s">
        <v>1006</v>
      </c>
      <c r="B27" s="100" t="s">
        <v>1028</v>
      </c>
      <c r="C27" s="50" t="s">
        <v>1029</v>
      </c>
      <c r="D27" s="108"/>
      <c r="E27" s="103">
        <v>11400</v>
      </c>
      <c r="F27" s="148"/>
      <c r="G27" s="102">
        <f t="shared" si="0"/>
        <v>29396</v>
      </c>
      <c r="H27" s="104"/>
      <c r="L27" s="88"/>
    </row>
    <row r="28" spans="1:14" x14ac:dyDescent="0.3">
      <c r="A28" s="99" t="s">
        <v>1062</v>
      </c>
      <c r="B28" s="100" t="s">
        <v>1063</v>
      </c>
      <c r="C28" s="84" t="s">
        <v>1064</v>
      </c>
      <c r="D28" s="108">
        <v>1269240</v>
      </c>
      <c r="E28" s="103"/>
      <c r="F28" s="103"/>
      <c r="G28" s="102">
        <f>G27+D28</f>
        <v>1298636</v>
      </c>
      <c r="H28" s="104"/>
      <c r="L28" s="88"/>
    </row>
    <row r="29" spans="1:14" x14ac:dyDescent="0.3">
      <c r="A29" s="99" t="s">
        <v>1155</v>
      </c>
      <c r="B29" s="100" t="s">
        <v>1154</v>
      </c>
      <c r="C29" s="50" t="s">
        <v>1065</v>
      </c>
      <c r="D29" s="108"/>
      <c r="E29" s="103">
        <v>161500</v>
      </c>
      <c r="F29" s="103"/>
      <c r="G29" s="102">
        <f>G28-E29</f>
        <v>1137136</v>
      </c>
      <c r="H29" s="104"/>
      <c r="L29" s="88"/>
    </row>
    <row r="30" spans="1:14" x14ac:dyDescent="0.3">
      <c r="A30" s="99" t="s">
        <v>1251</v>
      </c>
      <c r="B30" s="100" t="s">
        <v>1252</v>
      </c>
      <c r="C30" s="50" t="s">
        <v>1253</v>
      </c>
      <c r="D30" s="108"/>
      <c r="E30" s="103">
        <v>163600</v>
      </c>
      <c r="F30" s="103"/>
      <c r="G30" s="102">
        <f>G29-E30</f>
        <v>973536</v>
      </c>
      <c r="H30" s="104"/>
      <c r="L30" s="88"/>
    </row>
    <row r="31" spans="1:14" x14ac:dyDescent="0.3">
      <c r="A31" s="99" t="s">
        <v>1500</v>
      </c>
      <c r="B31" s="100" t="s">
        <v>1499</v>
      </c>
      <c r="C31" s="50" t="s">
        <v>1450</v>
      </c>
      <c r="D31" s="108"/>
      <c r="E31" s="103">
        <v>175300</v>
      </c>
      <c r="F31" s="103"/>
      <c r="G31" s="102">
        <f>G30-E31</f>
        <v>798236</v>
      </c>
      <c r="H31" s="104"/>
      <c r="L31" s="88"/>
    </row>
    <row r="32" spans="1:14" x14ac:dyDescent="0.3">
      <c r="A32" s="145"/>
      <c r="B32" s="171"/>
      <c r="C32" s="166"/>
      <c r="D32" s="108"/>
      <c r="E32" s="103"/>
      <c r="F32" s="103"/>
      <c r="G32" s="102"/>
      <c r="H32" s="104"/>
      <c r="N32" s="144"/>
    </row>
    <row r="33" spans="1:16" ht="19.5" thickBot="1" x14ac:dyDescent="0.35">
      <c r="A33" s="155"/>
      <c r="B33" s="172"/>
      <c r="C33" s="143" t="s">
        <v>6</v>
      </c>
      <c r="D33" s="173">
        <f>SUM(D7:D32)</f>
        <v>2705502</v>
      </c>
      <c r="E33" s="173">
        <f>SUM(E7:E32)</f>
        <v>1838351</v>
      </c>
      <c r="F33" s="174">
        <f>SUM(F7:F32)</f>
        <v>0</v>
      </c>
      <c r="G33" s="156">
        <f>D33-E33-F33</f>
        <v>867151</v>
      </c>
      <c r="H33" s="175"/>
      <c r="M33" s="144"/>
      <c r="N33" s="144"/>
    </row>
    <row r="34" spans="1:16" ht="19.5" thickTop="1" x14ac:dyDescent="0.3">
      <c r="I34" s="176"/>
      <c r="L34" s="151"/>
      <c r="M34" s="151"/>
      <c r="N34" s="151"/>
      <c r="O34" s="150"/>
      <c r="P34" s="177"/>
    </row>
    <row r="35" spans="1:16" x14ac:dyDescent="0.3">
      <c r="G35" s="144"/>
      <c r="L35" s="151"/>
      <c r="M35" s="150"/>
      <c r="N35" s="151"/>
      <c r="O35" s="150"/>
    </row>
    <row r="36" spans="1:16" x14ac:dyDescent="0.3">
      <c r="G36" s="144"/>
      <c r="L36" s="151"/>
      <c r="M36" s="151"/>
      <c r="N36" s="158"/>
      <c r="O36" s="150"/>
    </row>
    <row r="37" spans="1:16" x14ac:dyDescent="0.3">
      <c r="G37" s="144"/>
      <c r="L37" s="228"/>
      <c r="M37" s="150"/>
      <c r="N37" s="150"/>
      <c r="O37" s="150"/>
    </row>
    <row r="38" spans="1:16" x14ac:dyDescent="0.3">
      <c r="G38" s="176"/>
      <c r="L38" s="178"/>
      <c r="M38" s="179"/>
      <c r="N38" s="144"/>
    </row>
    <row r="39" spans="1:16" x14ac:dyDescent="0.3">
      <c r="G39" s="176">
        <f>G37-G38</f>
        <v>0</v>
      </c>
      <c r="N39" s="176"/>
    </row>
    <row r="40" spans="1:16" x14ac:dyDescent="0.3">
      <c r="E40" s="144"/>
      <c r="M40" s="144"/>
    </row>
    <row r="41" spans="1:16" x14ac:dyDescent="0.3">
      <c r="M41" s="144"/>
    </row>
    <row r="42" spans="1:16" x14ac:dyDescent="0.3">
      <c r="M42" s="144"/>
      <c r="N42" s="176"/>
    </row>
    <row r="43" spans="1:16" x14ac:dyDescent="0.3">
      <c r="N43" s="144"/>
    </row>
    <row r="44" spans="1:16" x14ac:dyDescent="0.3">
      <c r="N44" s="144"/>
    </row>
    <row r="45" spans="1:16" x14ac:dyDescent="0.3">
      <c r="N45" s="176"/>
    </row>
    <row r="46" spans="1:16" x14ac:dyDescent="0.3">
      <c r="D46" s="144"/>
      <c r="E46" s="167"/>
      <c r="F46" s="167"/>
      <c r="M46" s="144"/>
      <c r="N46" s="167"/>
    </row>
    <row r="47" spans="1:16" x14ac:dyDescent="0.3">
      <c r="D47" s="144"/>
      <c r="E47" s="167"/>
      <c r="F47" s="167"/>
      <c r="L47" s="144">
        <f>M42-L46</f>
        <v>0</v>
      </c>
      <c r="M47" s="144"/>
      <c r="N47" s="167"/>
    </row>
    <row r="48" spans="1:16" x14ac:dyDescent="0.3">
      <c r="D48" s="144"/>
      <c r="E48" s="167"/>
      <c r="F48" s="167"/>
      <c r="M48" s="144"/>
      <c r="N48" s="167"/>
    </row>
    <row r="49" spans="4:14" x14ac:dyDescent="0.3">
      <c r="D49" s="144"/>
      <c r="E49" s="167"/>
      <c r="F49" s="167"/>
      <c r="M49" s="144"/>
      <c r="N49" s="167"/>
    </row>
    <row r="51" spans="4:14" ht="19.5" thickBot="1" x14ac:dyDescent="0.35">
      <c r="D51" s="158"/>
      <c r="M51" s="180"/>
    </row>
    <row r="52" spans="4:14" ht="19.5" thickTop="1" x14ac:dyDescent="0.3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opLeftCell="A7" workbookViewId="0">
      <selection activeCell="D18" sqref="D18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1.140625" style="88" customWidth="1"/>
    <col min="6" max="6" width="8.710937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1345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631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634</v>
      </c>
      <c r="B7" s="100" t="s">
        <v>635</v>
      </c>
      <c r="C7" s="50" t="s">
        <v>636</v>
      </c>
      <c r="D7" s="103">
        <v>6000</v>
      </c>
      <c r="E7" s="103"/>
      <c r="F7" s="103"/>
      <c r="G7" s="226">
        <v>6000</v>
      </c>
      <c r="H7" s="85" t="s">
        <v>633</v>
      </c>
    </row>
    <row r="8" spans="1:12" x14ac:dyDescent="0.3">
      <c r="A8" s="192" t="s">
        <v>1433</v>
      </c>
      <c r="B8" s="107" t="s">
        <v>1438</v>
      </c>
      <c r="C8" s="203" t="s">
        <v>1437</v>
      </c>
      <c r="D8" s="103"/>
      <c r="E8" s="103">
        <v>2592</v>
      </c>
      <c r="F8" s="103"/>
      <c r="G8" s="102">
        <f>G7-E8</f>
        <v>3408</v>
      </c>
      <c r="H8" s="104"/>
    </row>
    <row r="9" spans="1:12" x14ac:dyDescent="0.3">
      <c r="A9" s="192"/>
      <c r="B9" s="100"/>
      <c r="C9" s="50"/>
      <c r="D9" s="103"/>
      <c r="E9" s="103"/>
      <c r="F9" s="103"/>
      <c r="G9" s="102"/>
      <c r="H9" s="104"/>
    </row>
    <row r="10" spans="1:12" x14ac:dyDescent="0.3">
      <c r="A10" s="192" t="s">
        <v>964</v>
      </c>
      <c r="B10" s="100" t="s">
        <v>965</v>
      </c>
      <c r="C10" s="50" t="s">
        <v>963</v>
      </c>
      <c r="D10" s="103">
        <v>13200</v>
      </c>
      <c r="E10" s="103"/>
      <c r="F10" s="103"/>
      <c r="G10" s="226">
        <v>13200</v>
      </c>
      <c r="H10" s="85" t="s">
        <v>633</v>
      </c>
      <c r="K10" s="151"/>
      <c r="L10" s="150"/>
    </row>
    <row r="11" spans="1:12" x14ac:dyDescent="0.3">
      <c r="A11" s="192"/>
      <c r="B11" s="107"/>
      <c r="C11" s="203"/>
      <c r="D11" s="108"/>
      <c r="E11" s="108"/>
      <c r="F11" s="146"/>
      <c r="G11" s="147"/>
      <c r="H11" s="204"/>
      <c r="K11" s="151"/>
      <c r="L11" s="150"/>
    </row>
    <row r="12" spans="1:12" x14ac:dyDescent="0.3">
      <c r="A12" s="192"/>
      <c r="B12" s="107"/>
      <c r="C12" s="203"/>
      <c r="D12" s="108"/>
      <c r="E12" s="108"/>
      <c r="F12" s="146"/>
      <c r="G12" s="147"/>
      <c r="H12" s="204"/>
      <c r="K12" s="151"/>
      <c r="L12" s="150"/>
    </row>
    <row r="13" spans="1:12" x14ac:dyDescent="0.3">
      <c r="A13" s="192" t="s">
        <v>1006</v>
      </c>
      <c r="B13" s="107" t="s">
        <v>1007</v>
      </c>
      <c r="C13" s="86" t="s">
        <v>1005</v>
      </c>
      <c r="D13" s="108">
        <v>275800</v>
      </c>
      <c r="E13" s="108"/>
      <c r="F13" s="146"/>
      <c r="G13" s="147">
        <f>D13</f>
        <v>275800</v>
      </c>
      <c r="H13" s="85" t="s">
        <v>633</v>
      </c>
      <c r="K13" s="151"/>
      <c r="L13" s="150"/>
    </row>
    <row r="14" spans="1:12" x14ac:dyDescent="0.3">
      <c r="A14" s="192"/>
      <c r="B14" s="107"/>
      <c r="C14" s="86"/>
      <c r="D14" s="108"/>
      <c r="E14" s="108"/>
      <c r="F14" s="146"/>
      <c r="G14" s="147"/>
      <c r="H14" s="85"/>
      <c r="K14" s="151"/>
      <c r="L14" s="150"/>
    </row>
    <row r="15" spans="1:12" x14ac:dyDescent="0.3">
      <c r="A15" s="192"/>
      <c r="B15" s="107"/>
      <c r="C15" s="86"/>
      <c r="D15" s="108"/>
      <c r="E15" s="108"/>
      <c r="F15" s="146"/>
      <c r="G15" s="147"/>
      <c r="H15" s="204"/>
      <c r="K15" s="151"/>
      <c r="L15" s="150"/>
    </row>
    <row r="16" spans="1:12" x14ac:dyDescent="0.3">
      <c r="A16" s="192"/>
      <c r="B16" s="107"/>
      <c r="C16" s="203"/>
      <c r="D16" s="108"/>
      <c r="E16" s="190"/>
      <c r="F16" s="146"/>
      <c r="G16" s="147"/>
      <c r="H16" s="204"/>
      <c r="K16" s="151"/>
      <c r="L16" s="150"/>
    </row>
    <row r="17" spans="1:15" x14ac:dyDescent="0.3">
      <c r="A17" s="192"/>
      <c r="B17" s="107"/>
      <c r="C17" s="203"/>
      <c r="D17" s="108"/>
      <c r="E17" s="190"/>
      <c r="F17" s="101"/>
      <c r="G17" s="147"/>
      <c r="H17" s="204"/>
      <c r="K17" s="151"/>
      <c r="L17" s="150"/>
    </row>
    <row r="18" spans="1:15" x14ac:dyDescent="0.3">
      <c r="A18" s="192"/>
      <c r="B18" s="107"/>
      <c r="C18" s="203"/>
      <c r="D18" s="108"/>
      <c r="E18" s="108"/>
      <c r="F18" s="101"/>
      <c r="G18" s="147"/>
      <c r="H18" s="204"/>
      <c r="K18" s="151"/>
      <c r="L18" s="150"/>
    </row>
    <row r="19" spans="1:15" x14ac:dyDescent="0.3">
      <c r="A19" s="192"/>
      <c r="B19" s="107"/>
      <c r="C19" s="203"/>
      <c r="D19" s="108"/>
      <c r="E19" s="190"/>
      <c r="F19" s="146"/>
      <c r="G19" s="147"/>
      <c r="H19" s="204"/>
      <c r="K19" s="151"/>
      <c r="L19" s="150"/>
    </row>
    <row r="20" spans="1:15" x14ac:dyDescent="0.3">
      <c r="A20" s="192"/>
      <c r="B20" s="107"/>
      <c r="C20" s="203"/>
      <c r="D20" s="108"/>
      <c r="E20" s="190"/>
      <c r="F20" s="146"/>
      <c r="G20" s="147"/>
      <c r="H20" s="204"/>
      <c r="K20" s="151"/>
      <c r="L20" s="150"/>
    </row>
    <row r="21" spans="1:15" x14ac:dyDescent="0.3">
      <c r="A21" s="192"/>
      <c r="B21" s="107"/>
      <c r="C21" s="203"/>
      <c r="D21" s="108"/>
      <c r="E21" s="190"/>
      <c r="F21" s="146"/>
      <c r="G21" s="147"/>
      <c r="H21" s="204"/>
      <c r="K21" s="151"/>
      <c r="L21" s="150"/>
    </row>
    <row r="22" spans="1:15" x14ac:dyDescent="0.3">
      <c r="A22" s="192"/>
      <c r="B22" s="107"/>
      <c r="C22" s="202"/>
      <c r="D22" s="146"/>
      <c r="E22" s="101"/>
      <c r="F22" s="101"/>
      <c r="G22" s="147"/>
      <c r="H22" s="162"/>
      <c r="K22" s="151"/>
      <c r="L22" s="150"/>
    </row>
    <row r="23" spans="1:15" ht="18" thickBot="1" x14ac:dyDescent="0.35">
      <c r="A23" s="118"/>
      <c r="B23" s="155"/>
      <c r="C23" s="143" t="s">
        <v>102</v>
      </c>
      <c r="D23" s="182">
        <f>SUM(D7:D22)</f>
        <v>295000</v>
      </c>
      <c r="E23" s="182">
        <f>SUM(E7:E22)</f>
        <v>2592</v>
      </c>
      <c r="F23" s="182">
        <f>SUM(F7:F22)</f>
        <v>0</v>
      </c>
      <c r="G23" s="173">
        <f>D23-E23-F23</f>
        <v>292408</v>
      </c>
      <c r="H23" s="104"/>
      <c r="K23" s="151"/>
      <c r="L23" s="150"/>
    </row>
    <row r="24" spans="1:15" ht="18" thickTop="1" x14ac:dyDescent="0.3">
      <c r="D24" s="149"/>
      <c r="F24" s="189"/>
      <c r="G24" s="214"/>
      <c r="J24" s="167"/>
      <c r="K24" s="151"/>
      <c r="L24" s="150"/>
    </row>
    <row r="25" spans="1:15" x14ac:dyDescent="0.3">
      <c r="D25" s="149"/>
      <c r="E25" s="144"/>
      <c r="F25" s="176"/>
      <c r="G25" s="144"/>
      <c r="J25" s="167"/>
    </row>
    <row r="26" spans="1:15" x14ac:dyDescent="0.3">
      <c r="D26" s="149"/>
      <c r="E26" s="144"/>
      <c r="G26" s="144"/>
      <c r="J26" s="144"/>
      <c r="M26" s="144"/>
    </row>
    <row r="27" spans="1:15" x14ac:dyDescent="0.3">
      <c r="C27" s="176"/>
      <c r="E27" s="144"/>
      <c r="G27" s="176"/>
      <c r="M27" s="144"/>
    </row>
    <row r="28" spans="1:15" x14ac:dyDescent="0.3">
      <c r="C28" s="176"/>
      <c r="E28" s="176"/>
      <c r="G28" s="176"/>
      <c r="M28" s="176"/>
      <c r="O28" s="176"/>
    </row>
    <row r="29" spans="1:15" x14ac:dyDescent="0.3">
      <c r="E29" s="151"/>
      <c r="F29" s="144"/>
      <c r="G29" s="176"/>
      <c r="M29" s="144"/>
      <c r="N29" s="144"/>
      <c r="O29" s="176"/>
    </row>
    <row r="30" spans="1:15" x14ac:dyDescent="0.3">
      <c r="B30" s="150"/>
      <c r="C30" s="158"/>
      <c r="D30" s="183"/>
      <c r="E30" s="184"/>
      <c r="G30" s="185"/>
      <c r="O30" s="185"/>
    </row>
    <row r="31" spans="1:15" x14ac:dyDescent="0.3">
      <c r="B31" s="150"/>
      <c r="C31" s="150"/>
      <c r="D31" s="152"/>
      <c r="E31" s="151"/>
    </row>
    <row r="32" spans="1:15" x14ac:dyDescent="0.3">
      <c r="B32" s="150"/>
      <c r="C32" s="150"/>
      <c r="D32" s="152"/>
      <c r="E32" s="151"/>
      <c r="G32" s="144"/>
      <c r="O32" s="144"/>
    </row>
    <row r="33" spans="2:7" x14ac:dyDescent="0.3">
      <c r="B33" s="150"/>
      <c r="C33" s="150"/>
      <c r="D33" s="152"/>
      <c r="E33" s="151"/>
      <c r="G33" s="144"/>
    </row>
    <row r="34" spans="2:7" x14ac:dyDescent="0.3">
      <c r="B34" s="150"/>
      <c r="C34" s="150"/>
      <c r="D34" s="186"/>
      <c r="E34" s="158"/>
    </row>
    <row r="35" spans="2:7" x14ac:dyDescent="0.3">
      <c r="B35" s="150"/>
      <c r="C35" s="150"/>
      <c r="D35" s="150"/>
      <c r="E35" s="151"/>
    </row>
    <row r="36" spans="2:7" x14ac:dyDescent="0.3">
      <c r="B36" s="150"/>
      <c r="C36" s="150"/>
      <c r="D36" s="150"/>
      <c r="E36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E14" sqref="E14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1.140625" style="88" customWidth="1"/>
    <col min="6" max="6" width="8.710937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1" spans="1:12" x14ac:dyDescent="0.3">
      <c r="A1" s="335" t="s">
        <v>190</v>
      </c>
      <c r="B1" s="335"/>
      <c r="C1" s="335"/>
      <c r="D1" s="335"/>
      <c r="E1" s="335"/>
      <c r="F1" s="335"/>
      <c r="G1" s="335"/>
      <c r="H1" s="335"/>
    </row>
    <row r="2" spans="1:12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12" x14ac:dyDescent="0.3">
      <c r="A3" s="111" t="s">
        <v>110</v>
      </c>
      <c r="B3" s="87"/>
      <c r="C3" s="87"/>
      <c r="D3" s="87"/>
      <c r="E3" s="164"/>
      <c r="F3" s="87"/>
      <c r="G3" s="181" t="s">
        <v>5</v>
      </c>
      <c r="H3" s="181" t="s">
        <v>632</v>
      </c>
    </row>
    <row r="4" spans="1:12" x14ac:dyDescent="0.3">
      <c r="A4" s="191" t="s">
        <v>16</v>
      </c>
      <c r="B4" s="168" t="s">
        <v>12</v>
      </c>
      <c r="C4" s="91" t="s">
        <v>4</v>
      </c>
      <c r="D4" s="92" t="s">
        <v>15</v>
      </c>
      <c r="E4" s="92" t="s">
        <v>1</v>
      </c>
      <c r="F4" s="92" t="s">
        <v>32</v>
      </c>
      <c r="G4" s="93" t="s">
        <v>2</v>
      </c>
      <c r="H4" s="91" t="s">
        <v>3</v>
      </c>
    </row>
    <row r="5" spans="1:12" x14ac:dyDescent="0.3">
      <c r="A5" s="115"/>
      <c r="B5" s="94"/>
      <c r="C5" s="95"/>
      <c r="D5" s="96" t="s">
        <v>0</v>
      </c>
      <c r="E5" s="96"/>
      <c r="F5" s="96" t="s">
        <v>33</v>
      </c>
      <c r="G5" s="97"/>
      <c r="H5" s="170"/>
    </row>
    <row r="6" spans="1:12" x14ac:dyDescent="0.3">
      <c r="A6" s="192" t="s">
        <v>261</v>
      </c>
      <c r="B6" s="100" t="s">
        <v>267</v>
      </c>
      <c r="C6" s="50" t="s">
        <v>268</v>
      </c>
      <c r="D6" s="103">
        <v>2000</v>
      </c>
      <c r="E6" s="103"/>
      <c r="F6" s="103"/>
      <c r="G6" s="226">
        <v>2000</v>
      </c>
      <c r="H6" s="85" t="s">
        <v>266</v>
      </c>
    </row>
    <row r="7" spans="1:12" x14ac:dyDescent="0.3">
      <c r="A7" s="192" t="s">
        <v>792</v>
      </c>
      <c r="B7" s="100" t="s">
        <v>802</v>
      </c>
      <c r="C7" s="50" t="s">
        <v>803</v>
      </c>
      <c r="D7" s="103"/>
      <c r="E7" s="103">
        <v>1198</v>
      </c>
      <c r="F7" s="103"/>
      <c r="G7" s="102">
        <f>G6-E7</f>
        <v>802</v>
      </c>
      <c r="H7" s="104"/>
    </row>
    <row r="8" spans="1:12" x14ac:dyDescent="0.3">
      <c r="A8" s="192"/>
      <c r="B8" s="100"/>
      <c r="C8" s="50"/>
      <c r="D8" s="103"/>
      <c r="E8" s="103"/>
      <c r="F8" s="103"/>
      <c r="G8" s="102"/>
      <c r="H8" s="104"/>
    </row>
    <row r="9" spans="1:12" x14ac:dyDescent="0.3">
      <c r="A9" s="192" t="s">
        <v>292</v>
      </c>
      <c r="B9" s="100" t="s">
        <v>291</v>
      </c>
      <c r="C9" s="50" t="s">
        <v>290</v>
      </c>
      <c r="D9" s="103">
        <v>10000</v>
      </c>
      <c r="E9" s="103"/>
      <c r="F9" s="103"/>
      <c r="G9" s="226">
        <v>10000</v>
      </c>
      <c r="H9" s="85" t="s">
        <v>289</v>
      </c>
      <c r="K9" s="151"/>
      <c r="L9" s="150"/>
    </row>
    <row r="10" spans="1:12" x14ac:dyDescent="0.3">
      <c r="A10" s="192" t="s">
        <v>320</v>
      </c>
      <c r="B10" s="107" t="s">
        <v>324</v>
      </c>
      <c r="C10" s="203" t="s">
        <v>325</v>
      </c>
      <c r="D10" s="108"/>
      <c r="E10" s="108">
        <v>1240</v>
      </c>
      <c r="F10" s="146"/>
      <c r="G10" s="147">
        <f>G9-E10</f>
        <v>8760</v>
      </c>
      <c r="H10" s="204"/>
      <c r="K10" s="151"/>
      <c r="L10" s="150"/>
    </row>
    <row r="11" spans="1:12" x14ac:dyDescent="0.3">
      <c r="A11" s="192" t="s">
        <v>598</v>
      </c>
      <c r="B11" s="107" t="s">
        <v>604</v>
      </c>
      <c r="C11" s="203" t="s">
        <v>605</v>
      </c>
      <c r="D11" s="108"/>
      <c r="E11" s="108">
        <v>5880</v>
      </c>
      <c r="F11" s="146"/>
      <c r="G11" s="147">
        <f>G10-E11</f>
        <v>2880</v>
      </c>
      <c r="H11" s="204"/>
      <c r="K11" s="151"/>
      <c r="L11" s="150"/>
    </row>
    <row r="12" spans="1:12" x14ac:dyDescent="0.3">
      <c r="A12" s="192"/>
      <c r="B12" s="107"/>
      <c r="C12" s="86"/>
      <c r="D12" s="108"/>
      <c r="E12" s="108"/>
      <c r="F12" s="146"/>
      <c r="G12" s="147"/>
      <c r="H12" s="204"/>
      <c r="K12" s="151"/>
      <c r="L12" s="150"/>
    </row>
    <row r="13" spans="1:12" x14ac:dyDescent="0.3">
      <c r="A13" s="192" t="s">
        <v>298</v>
      </c>
      <c r="B13" s="107" t="s">
        <v>299</v>
      </c>
      <c r="C13" s="86" t="s">
        <v>300</v>
      </c>
      <c r="D13" s="108">
        <v>20000</v>
      </c>
      <c r="E13" s="108"/>
      <c r="F13" s="146"/>
      <c r="G13" s="147">
        <v>20000</v>
      </c>
      <c r="H13" s="85" t="s">
        <v>289</v>
      </c>
      <c r="K13" s="151"/>
      <c r="L13" s="150"/>
    </row>
    <row r="14" spans="1:12" x14ac:dyDescent="0.3">
      <c r="A14" s="192" t="s">
        <v>570</v>
      </c>
      <c r="B14" s="107" t="s">
        <v>571</v>
      </c>
      <c r="C14" s="86" t="s">
        <v>572</v>
      </c>
      <c r="D14" s="108"/>
      <c r="E14" s="108">
        <v>9050</v>
      </c>
      <c r="F14" s="146"/>
      <c r="G14" s="147">
        <f>G13-E14-F14</f>
        <v>10950</v>
      </c>
      <c r="H14" s="204"/>
      <c r="K14" s="151"/>
      <c r="L14" s="150"/>
    </row>
    <row r="15" spans="1:12" x14ac:dyDescent="0.3">
      <c r="A15" s="192" t="s">
        <v>818</v>
      </c>
      <c r="B15" s="107" t="s">
        <v>822</v>
      </c>
      <c r="C15" s="86" t="s">
        <v>821</v>
      </c>
      <c r="D15" s="108"/>
      <c r="E15" s="108">
        <v>4950</v>
      </c>
      <c r="F15" s="146"/>
      <c r="G15" s="147">
        <f>G14-E15-F15</f>
        <v>6000</v>
      </c>
      <c r="H15" s="204"/>
      <c r="K15" s="151"/>
      <c r="L15" s="150"/>
    </row>
    <row r="16" spans="1:12" x14ac:dyDescent="0.3">
      <c r="A16" s="192"/>
      <c r="B16" s="107" t="s">
        <v>823</v>
      </c>
      <c r="C16" s="86" t="s">
        <v>824</v>
      </c>
      <c r="D16" s="108"/>
      <c r="E16" s="108">
        <v>6000</v>
      </c>
      <c r="F16" s="146"/>
      <c r="G16" s="272">
        <f>G15-E16-F16</f>
        <v>0</v>
      </c>
      <c r="H16" s="204"/>
      <c r="K16" s="151"/>
      <c r="L16" s="150"/>
    </row>
    <row r="17" spans="1:12" x14ac:dyDescent="0.3">
      <c r="A17" s="192"/>
      <c r="B17" s="107"/>
      <c r="C17" s="203"/>
      <c r="D17" s="108"/>
      <c r="E17" s="190"/>
      <c r="F17" s="146"/>
      <c r="G17" s="147"/>
      <c r="H17" s="204"/>
      <c r="K17" s="151"/>
      <c r="L17" s="150"/>
    </row>
    <row r="18" spans="1:12" x14ac:dyDescent="0.3">
      <c r="A18" s="192" t="s">
        <v>564</v>
      </c>
      <c r="B18" s="107" t="s">
        <v>565</v>
      </c>
      <c r="C18" s="203" t="s">
        <v>566</v>
      </c>
      <c r="D18" s="108">
        <v>6000</v>
      </c>
      <c r="E18" s="190"/>
      <c r="F18" s="101"/>
      <c r="G18" s="147">
        <v>6000</v>
      </c>
      <c r="H18" s="204" t="s">
        <v>567</v>
      </c>
      <c r="K18" s="151"/>
      <c r="L18" s="150"/>
    </row>
    <row r="19" spans="1:12" x14ac:dyDescent="0.3">
      <c r="A19" s="192" t="s">
        <v>622</v>
      </c>
      <c r="B19" s="107" t="s">
        <v>625</v>
      </c>
      <c r="C19" s="203" t="s">
        <v>626</v>
      </c>
      <c r="D19" s="108"/>
      <c r="E19" s="108">
        <v>3008</v>
      </c>
      <c r="F19" s="101"/>
      <c r="G19" s="147">
        <f>G18-E19</f>
        <v>2992</v>
      </c>
      <c r="H19" s="204"/>
      <c r="K19" s="151"/>
      <c r="L19" s="150"/>
    </row>
    <row r="20" spans="1:12" x14ac:dyDescent="0.3">
      <c r="A20" s="192"/>
      <c r="B20" s="107"/>
      <c r="C20" s="203"/>
      <c r="D20" s="108"/>
      <c r="E20" s="190"/>
      <c r="F20" s="146"/>
      <c r="G20" s="147"/>
      <c r="H20" s="204"/>
      <c r="K20" s="151"/>
      <c r="L20" s="150"/>
    </row>
    <row r="21" spans="1:12" x14ac:dyDescent="0.3">
      <c r="A21" s="192" t="s">
        <v>582</v>
      </c>
      <c r="B21" s="107" t="s">
        <v>583</v>
      </c>
      <c r="C21" s="203" t="s">
        <v>584</v>
      </c>
      <c r="D21" s="108">
        <v>18400</v>
      </c>
      <c r="E21" s="190"/>
      <c r="F21" s="146"/>
      <c r="G21" s="147">
        <v>18400</v>
      </c>
      <c r="H21" s="204" t="s">
        <v>581</v>
      </c>
      <c r="K21" s="151"/>
      <c r="L21" s="150"/>
    </row>
    <row r="22" spans="1:12" x14ac:dyDescent="0.3">
      <c r="A22" s="192" t="s">
        <v>615</v>
      </c>
      <c r="B22" s="107" t="s">
        <v>734</v>
      </c>
      <c r="C22" s="203" t="s">
        <v>733</v>
      </c>
      <c r="D22" s="108"/>
      <c r="E22" s="108">
        <v>8400</v>
      </c>
      <c r="F22" s="146"/>
      <c r="G22" s="147">
        <f>G21-E22</f>
        <v>10000</v>
      </c>
      <c r="H22" s="204"/>
      <c r="K22" s="151"/>
      <c r="L22" s="150"/>
    </row>
    <row r="23" spans="1:12" x14ac:dyDescent="0.3">
      <c r="A23" s="192" t="s">
        <v>672</v>
      </c>
      <c r="B23" s="107" t="s">
        <v>677</v>
      </c>
      <c r="C23" s="203" t="s">
        <v>678</v>
      </c>
      <c r="D23" s="108"/>
      <c r="E23" s="108">
        <v>4155</v>
      </c>
      <c r="F23" s="146"/>
      <c r="G23" s="147">
        <f>G22-E23</f>
        <v>5845</v>
      </c>
      <c r="H23" s="204"/>
      <c r="K23" s="151"/>
      <c r="L23" s="150"/>
    </row>
    <row r="24" spans="1:12" x14ac:dyDescent="0.3">
      <c r="A24" s="192"/>
      <c r="B24" s="107" t="s">
        <v>679</v>
      </c>
      <c r="C24" s="203" t="s">
        <v>680</v>
      </c>
      <c r="D24" s="108"/>
      <c r="E24" s="108">
        <v>4245</v>
      </c>
      <c r="F24" s="146"/>
      <c r="G24" s="147">
        <f>G23-E24</f>
        <v>1600</v>
      </c>
      <c r="H24" s="204"/>
      <c r="K24" s="151"/>
      <c r="L24" s="150"/>
    </row>
    <row r="25" spans="1:12" x14ac:dyDescent="0.3">
      <c r="A25" s="192"/>
      <c r="B25" s="107" t="s">
        <v>681</v>
      </c>
      <c r="C25" s="203" t="s">
        <v>311</v>
      </c>
      <c r="D25" s="108"/>
      <c r="E25" s="108">
        <v>1600</v>
      </c>
      <c r="F25" s="146"/>
      <c r="G25" s="272">
        <f>G24-E25</f>
        <v>0</v>
      </c>
      <c r="H25" s="204"/>
      <c r="K25" s="151"/>
      <c r="L25" s="150"/>
    </row>
    <row r="26" spans="1:12" x14ac:dyDescent="0.3">
      <c r="A26" s="192"/>
      <c r="B26" s="107"/>
      <c r="C26" s="203"/>
      <c r="D26" s="108"/>
      <c r="E26" s="108"/>
      <c r="F26" s="146"/>
      <c r="G26" s="147"/>
      <c r="H26" s="204"/>
      <c r="K26" s="151"/>
      <c r="L26" s="150"/>
    </row>
    <row r="27" spans="1:12" x14ac:dyDescent="0.3">
      <c r="A27" s="192" t="s">
        <v>738</v>
      </c>
      <c r="B27" s="107" t="s">
        <v>753</v>
      </c>
      <c r="C27" s="203" t="s">
        <v>754</v>
      </c>
      <c r="D27" s="108">
        <v>5000</v>
      </c>
      <c r="E27" s="108"/>
      <c r="F27" s="146"/>
      <c r="G27" s="147">
        <v>5000</v>
      </c>
      <c r="H27" s="204" t="s">
        <v>633</v>
      </c>
      <c r="K27" s="151"/>
      <c r="L27" s="150"/>
    </row>
    <row r="28" spans="1:12" x14ac:dyDescent="0.3">
      <c r="A28" s="192" t="s">
        <v>948</v>
      </c>
      <c r="B28" s="107" t="s">
        <v>952</v>
      </c>
      <c r="C28" s="203" t="s">
        <v>953</v>
      </c>
      <c r="D28" s="108"/>
      <c r="E28" s="108">
        <v>1400</v>
      </c>
      <c r="F28" s="146"/>
      <c r="G28" s="147">
        <f>G27-E28</f>
        <v>3600</v>
      </c>
      <c r="H28" s="204"/>
      <c r="K28" s="151"/>
      <c r="L28" s="150"/>
    </row>
    <row r="29" spans="1:12" x14ac:dyDescent="0.3">
      <c r="A29" s="192"/>
      <c r="B29" s="107"/>
      <c r="C29" s="203"/>
      <c r="D29" s="108"/>
      <c r="E29" s="108"/>
      <c r="F29" s="146"/>
      <c r="G29" s="147"/>
      <c r="H29" s="204"/>
      <c r="K29" s="151"/>
      <c r="L29" s="150"/>
    </row>
    <row r="30" spans="1:12" x14ac:dyDescent="0.3">
      <c r="A30" s="192" t="s">
        <v>964</v>
      </c>
      <c r="B30" s="100" t="s">
        <v>966</v>
      </c>
      <c r="C30" s="50" t="s">
        <v>967</v>
      </c>
      <c r="D30" s="103">
        <v>30000</v>
      </c>
      <c r="E30" s="103"/>
      <c r="F30" s="103"/>
      <c r="G30" s="226">
        <v>30000</v>
      </c>
      <c r="H30" s="204" t="s">
        <v>289</v>
      </c>
      <c r="K30" s="151"/>
      <c r="L30" s="150"/>
    </row>
    <row r="31" spans="1:12" x14ac:dyDescent="0.3">
      <c r="A31" s="192"/>
      <c r="B31" s="107"/>
      <c r="C31" s="203"/>
      <c r="D31" s="108"/>
      <c r="E31" s="108"/>
      <c r="F31" s="146"/>
      <c r="G31" s="147"/>
      <c r="H31" s="204"/>
      <c r="K31" s="151"/>
      <c r="L31" s="150"/>
    </row>
    <row r="32" spans="1:12" x14ac:dyDescent="0.3">
      <c r="A32" s="192" t="s">
        <v>1351</v>
      </c>
      <c r="B32" s="107" t="s">
        <v>1352</v>
      </c>
      <c r="C32" s="86" t="s">
        <v>1353</v>
      </c>
      <c r="D32" s="108">
        <v>38760</v>
      </c>
      <c r="E32" s="108"/>
      <c r="F32" s="146"/>
      <c r="G32" s="147">
        <f>D32</f>
        <v>38760</v>
      </c>
      <c r="H32" s="204" t="s">
        <v>1350</v>
      </c>
      <c r="K32" s="151"/>
      <c r="L32" s="150"/>
    </row>
    <row r="33" spans="1:15" x14ac:dyDescent="0.3">
      <c r="A33" s="192"/>
      <c r="B33" s="107"/>
      <c r="C33" s="203"/>
      <c r="D33" s="108"/>
      <c r="E33" s="108"/>
      <c r="F33" s="146"/>
      <c r="G33" s="147"/>
      <c r="H33" s="204"/>
      <c r="K33" s="151"/>
      <c r="L33" s="150"/>
    </row>
    <row r="34" spans="1:15" x14ac:dyDescent="0.3">
      <c r="A34" s="192" t="s">
        <v>1434</v>
      </c>
      <c r="B34" s="107" t="s">
        <v>1119</v>
      </c>
      <c r="C34" s="86" t="s">
        <v>1435</v>
      </c>
      <c r="D34" s="108">
        <v>16100</v>
      </c>
      <c r="E34" s="108"/>
      <c r="F34" s="146"/>
      <c r="G34" s="147">
        <v>16100</v>
      </c>
      <c r="H34" s="204" t="s">
        <v>1118</v>
      </c>
      <c r="K34" s="151"/>
      <c r="L34" s="150"/>
    </row>
    <row r="35" spans="1:15" x14ac:dyDescent="0.3">
      <c r="A35" s="192"/>
      <c r="B35" s="107"/>
      <c r="C35" s="86"/>
      <c r="D35" s="108"/>
      <c r="E35" s="108"/>
      <c r="F35" s="146"/>
      <c r="G35" s="147"/>
      <c r="H35" s="204"/>
      <c r="K35" s="151"/>
      <c r="L35" s="150"/>
    </row>
    <row r="36" spans="1:15" x14ac:dyDescent="0.3">
      <c r="A36" s="192" t="s">
        <v>1469</v>
      </c>
      <c r="B36" s="107" t="s">
        <v>1470</v>
      </c>
      <c r="C36" s="86" t="s">
        <v>1471</v>
      </c>
      <c r="D36" s="108">
        <v>24000</v>
      </c>
      <c r="E36" s="108"/>
      <c r="F36" s="146"/>
      <c r="G36" s="147">
        <v>24000</v>
      </c>
      <c r="H36" s="204" t="s">
        <v>1266</v>
      </c>
      <c r="K36" s="151"/>
      <c r="L36" s="150"/>
    </row>
    <row r="37" spans="1:15" x14ac:dyDescent="0.3">
      <c r="A37" s="192"/>
      <c r="B37" s="107"/>
      <c r="C37" s="202"/>
      <c r="D37" s="146"/>
      <c r="E37" s="101"/>
      <c r="F37" s="101"/>
      <c r="G37" s="147"/>
      <c r="H37" s="162"/>
      <c r="K37" s="151"/>
      <c r="L37" s="150"/>
    </row>
    <row r="38" spans="1:15" ht="18" thickBot="1" x14ac:dyDescent="0.35">
      <c r="A38" s="118"/>
      <c r="B38" s="155"/>
      <c r="C38" s="143" t="s">
        <v>102</v>
      </c>
      <c r="D38" s="182">
        <f>SUM(D6:D37)</f>
        <v>170260</v>
      </c>
      <c r="E38" s="182">
        <f>SUM(E6:E37)</f>
        <v>51126</v>
      </c>
      <c r="F38" s="182">
        <f>SUM(F6:F37)</f>
        <v>0</v>
      </c>
      <c r="G38" s="173">
        <f>D38-E38-F38</f>
        <v>119134</v>
      </c>
      <c r="H38" s="104"/>
      <c r="K38" s="151"/>
      <c r="L38" s="150"/>
    </row>
    <row r="39" spans="1:15" ht="18" thickTop="1" x14ac:dyDescent="0.3">
      <c r="D39" s="149"/>
      <c r="F39" s="189"/>
      <c r="G39" s="214"/>
      <c r="J39" s="167"/>
      <c r="K39" s="151"/>
      <c r="L39" s="150"/>
    </row>
    <row r="40" spans="1:15" x14ac:dyDescent="0.3">
      <c r="D40" s="149"/>
      <c r="E40" s="144"/>
      <c r="F40" s="176"/>
      <c r="G40" s="144"/>
      <c r="J40" s="167"/>
    </row>
    <row r="41" spans="1:15" x14ac:dyDescent="0.3">
      <c r="D41" s="149"/>
      <c r="E41" s="144"/>
      <c r="G41" s="144"/>
      <c r="J41" s="144"/>
      <c r="M41" s="144"/>
    </row>
    <row r="42" spans="1:15" x14ac:dyDescent="0.3">
      <c r="C42" s="176"/>
      <c r="E42" s="144"/>
      <c r="G42" s="176"/>
      <c r="M42" s="144"/>
    </row>
    <row r="43" spans="1:15" x14ac:dyDescent="0.3">
      <c r="C43" s="176"/>
      <c r="E43" s="176"/>
      <c r="G43" s="176"/>
      <c r="M43" s="176"/>
      <c r="O43" s="176"/>
    </row>
    <row r="44" spans="1:15" x14ac:dyDescent="0.3">
      <c r="E44" s="151"/>
      <c r="F44" s="144"/>
      <c r="G44" s="176"/>
      <c r="M44" s="144"/>
      <c r="N44" s="144"/>
      <c r="O44" s="176"/>
    </row>
    <row r="45" spans="1:15" x14ac:dyDescent="0.3">
      <c r="B45" s="150"/>
      <c r="C45" s="158"/>
      <c r="D45" s="183"/>
      <c r="E45" s="184"/>
      <c r="G45" s="185"/>
      <c r="O45" s="185"/>
    </row>
    <row r="46" spans="1:15" x14ac:dyDescent="0.3">
      <c r="B46" s="150"/>
      <c r="C46" s="150"/>
      <c r="D46" s="152"/>
      <c r="E46" s="151"/>
    </row>
    <row r="47" spans="1:15" x14ac:dyDescent="0.3">
      <c r="B47" s="150"/>
      <c r="C47" s="150"/>
      <c r="D47" s="152"/>
      <c r="E47" s="151"/>
      <c r="G47" s="144"/>
      <c r="O47" s="144"/>
    </row>
    <row r="48" spans="1:15" x14ac:dyDescent="0.3">
      <c r="B48" s="150"/>
      <c r="C48" s="150"/>
      <c r="D48" s="152"/>
      <c r="E48" s="151"/>
      <c r="G48" s="144"/>
    </row>
    <row r="49" spans="2:5" x14ac:dyDescent="0.3">
      <c r="B49" s="150"/>
      <c r="C49" s="150"/>
      <c r="D49" s="186"/>
      <c r="E49" s="158"/>
    </row>
    <row r="50" spans="2:5" x14ac:dyDescent="0.3">
      <c r="B50" s="150"/>
      <c r="C50" s="150"/>
      <c r="D50" s="150"/>
      <c r="E50" s="151"/>
    </row>
    <row r="51" spans="2:5" x14ac:dyDescent="0.3">
      <c r="B51" s="150"/>
      <c r="C51" s="150"/>
      <c r="D51" s="150"/>
      <c r="E51" s="158"/>
    </row>
  </sheetData>
  <mergeCells count="2">
    <mergeCell ref="A1:H1"/>
    <mergeCell ref="A2:H2"/>
  </mergeCells>
  <pageMargins left="0.27" right="0.15" top="0.27" bottom="0.15748031496062992" header="0.15748031496062992" footer="0.1574803149606299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4" workbookViewId="0">
      <selection activeCell="K16" sqref="K16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0.28515625" style="88" customWidth="1"/>
    <col min="6" max="6" width="8.4257812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14" style="144" customWidth="1"/>
    <col min="11" max="11" width="11.85546875" style="88" customWidth="1"/>
    <col min="12" max="12" width="11.28515625" style="88" customWidth="1"/>
    <col min="13" max="13" width="11" style="88" customWidth="1"/>
    <col min="14" max="16384" width="9.140625" style="88"/>
  </cols>
  <sheetData>
    <row r="1" spans="1:11" x14ac:dyDescent="0.3">
      <c r="A1" s="335" t="s">
        <v>190</v>
      </c>
      <c r="B1" s="335"/>
      <c r="C1" s="335"/>
      <c r="D1" s="335"/>
      <c r="E1" s="335"/>
      <c r="F1" s="335"/>
      <c r="G1" s="335"/>
      <c r="H1" s="335"/>
    </row>
    <row r="2" spans="1:11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11" x14ac:dyDescent="0.3">
      <c r="A3" s="111" t="s">
        <v>110</v>
      </c>
      <c r="B3" s="87"/>
      <c r="C3" s="87"/>
      <c r="D3" s="87"/>
      <c r="E3" s="164"/>
      <c r="F3" s="87"/>
      <c r="G3" s="181" t="s">
        <v>5</v>
      </c>
      <c r="H3" s="181" t="s">
        <v>189</v>
      </c>
    </row>
    <row r="4" spans="1:11" x14ac:dyDescent="0.3">
      <c r="A4" s="191" t="s">
        <v>16</v>
      </c>
      <c r="B4" s="168" t="s">
        <v>12</v>
      </c>
      <c r="C4" s="91" t="s">
        <v>4</v>
      </c>
      <c r="D4" s="92" t="s">
        <v>15</v>
      </c>
      <c r="E4" s="92" t="s">
        <v>1</v>
      </c>
      <c r="F4" s="92" t="s">
        <v>32</v>
      </c>
      <c r="G4" s="93" t="s">
        <v>2</v>
      </c>
      <c r="H4" s="91" t="s">
        <v>3</v>
      </c>
    </row>
    <row r="5" spans="1:11" x14ac:dyDescent="0.3">
      <c r="A5" s="115"/>
      <c r="B5" s="94"/>
      <c r="C5" s="95"/>
      <c r="D5" s="96" t="s">
        <v>0</v>
      </c>
      <c r="E5" s="96"/>
      <c r="F5" s="96" t="s">
        <v>33</v>
      </c>
      <c r="G5" s="97"/>
      <c r="H5" s="170"/>
    </row>
    <row r="6" spans="1:11" x14ac:dyDescent="0.3">
      <c r="A6" s="192" t="s">
        <v>191</v>
      </c>
      <c r="B6" s="100" t="s">
        <v>192</v>
      </c>
      <c r="C6" s="50" t="s">
        <v>193</v>
      </c>
      <c r="D6" s="103">
        <v>4880</v>
      </c>
      <c r="E6" s="103"/>
      <c r="F6" s="103"/>
      <c r="G6" s="226">
        <f>D6</f>
        <v>4880</v>
      </c>
      <c r="H6" s="85" t="s">
        <v>23</v>
      </c>
    </row>
    <row r="7" spans="1:11" x14ac:dyDescent="0.3">
      <c r="A7" s="192"/>
      <c r="B7" s="100"/>
      <c r="C7" s="50"/>
      <c r="D7" s="103"/>
      <c r="E7" s="103"/>
      <c r="F7" s="103"/>
      <c r="G7" s="102"/>
      <c r="H7" s="104"/>
    </row>
    <row r="8" spans="1:11" x14ac:dyDescent="0.3">
      <c r="A8" s="192"/>
      <c r="B8" s="100"/>
      <c r="C8" s="50"/>
      <c r="D8" s="103"/>
      <c r="E8" s="103"/>
      <c r="F8" s="103"/>
      <c r="G8" s="102"/>
      <c r="H8" s="104"/>
    </row>
    <row r="9" spans="1:11" x14ac:dyDescent="0.3">
      <c r="A9" s="192" t="s">
        <v>741</v>
      </c>
      <c r="B9" s="100" t="s">
        <v>744</v>
      </c>
      <c r="C9" s="50" t="s">
        <v>745</v>
      </c>
      <c r="D9" s="103">
        <v>8400</v>
      </c>
      <c r="E9" s="103"/>
      <c r="F9" s="103"/>
      <c r="G9" s="226">
        <v>8400</v>
      </c>
      <c r="H9" s="85" t="s">
        <v>633</v>
      </c>
      <c r="J9" s="151"/>
      <c r="K9" s="150"/>
    </row>
    <row r="10" spans="1:11" x14ac:dyDescent="0.3">
      <c r="A10" s="192"/>
      <c r="B10" s="107"/>
      <c r="C10" s="203" t="s">
        <v>746</v>
      </c>
      <c r="D10" s="108"/>
      <c r="E10" s="190"/>
      <c r="F10" s="146"/>
      <c r="G10" s="147"/>
      <c r="H10" s="204"/>
      <c r="J10" s="151"/>
      <c r="K10" s="150"/>
    </row>
    <row r="11" spans="1:11" x14ac:dyDescent="0.3">
      <c r="A11" s="192" t="s">
        <v>1338</v>
      </c>
      <c r="B11" s="107" t="s">
        <v>1377</v>
      </c>
      <c r="C11" s="203" t="s">
        <v>1378</v>
      </c>
      <c r="D11" s="108"/>
      <c r="E11" s="108">
        <v>2568</v>
      </c>
      <c r="F11" s="146"/>
      <c r="G11" s="147">
        <f>G9-E11</f>
        <v>5832</v>
      </c>
      <c r="H11" s="204"/>
      <c r="J11" s="151"/>
      <c r="K11" s="150"/>
    </row>
    <row r="12" spans="1:11" x14ac:dyDescent="0.3">
      <c r="A12" s="192" t="s">
        <v>1433</v>
      </c>
      <c r="B12" s="107" t="s">
        <v>1436</v>
      </c>
      <c r="C12" s="203" t="s">
        <v>1437</v>
      </c>
      <c r="D12" s="108"/>
      <c r="E12" s="108">
        <v>1094</v>
      </c>
      <c r="F12" s="146"/>
      <c r="G12" s="147">
        <f>G11-E12</f>
        <v>4738</v>
      </c>
      <c r="H12" s="204"/>
      <c r="J12" s="151"/>
      <c r="K12" s="150"/>
    </row>
    <row r="13" spans="1:11" x14ac:dyDescent="0.3">
      <c r="A13" s="192"/>
      <c r="B13" s="107"/>
      <c r="C13" s="86"/>
      <c r="D13" s="108"/>
      <c r="E13" s="108"/>
      <c r="F13" s="146"/>
      <c r="G13" s="147"/>
      <c r="H13" s="204"/>
      <c r="J13" s="151"/>
      <c r="K13" s="150"/>
    </row>
    <row r="14" spans="1:11" x14ac:dyDescent="0.3">
      <c r="A14" s="192" t="s">
        <v>767</v>
      </c>
      <c r="B14" s="107" t="s">
        <v>768</v>
      </c>
      <c r="C14" s="86" t="s">
        <v>1159</v>
      </c>
      <c r="D14" s="108">
        <v>139504</v>
      </c>
      <c r="E14" s="190"/>
      <c r="F14" s="146"/>
      <c r="G14" s="147">
        <f>D14</f>
        <v>139504</v>
      </c>
      <c r="H14" s="204" t="s">
        <v>23</v>
      </c>
      <c r="J14" s="151"/>
      <c r="K14" s="150"/>
    </row>
    <row r="15" spans="1:11" x14ac:dyDescent="0.3">
      <c r="A15" s="192" t="s">
        <v>834</v>
      </c>
      <c r="B15" s="107" t="s">
        <v>840</v>
      </c>
      <c r="C15" s="86" t="s">
        <v>839</v>
      </c>
      <c r="D15" s="108"/>
      <c r="E15" s="275">
        <v>22850</v>
      </c>
      <c r="F15" s="146"/>
      <c r="G15" s="147">
        <f t="shared" ref="G15:G21" si="0">G14-E15</f>
        <v>116654</v>
      </c>
      <c r="H15" s="204"/>
      <c r="J15" s="151"/>
      <c r="K15" s="150"/>
    </row>
    <row r="16" spans="1:11" x14ac:dyDescent="0.3">
      <c r="A16" s="192" t="s">
        <v>984</v>
      </c>
      <c r="B16" s="107" t="s">
        <v>985</v>
      </c>
      <c r="C16" s="86" t="s">
        <v>839</v>
      </c>
      <c r="D16" s="108"/>
      <c r="E16" s="275">
        <v>15170</v>
      </c>
      <c r="F16" s="146"/>
      <c r="G16" s="147">
        <f t="shared" si="0"/>
        <v>101484</v>
      </c>
      <c r="H16" s="204"/>
      <c r="J16" s="151"/>
      <c r="K16" s="150"/>
    </row>
    <row r="17" spans="1:11" x14ac:dyDescent="0.3">
      <c r="A17" s="192" t="s">
        <v>988</v>
      </c>
      <c r="B17" s="107" t="s">
        <v>997</v>
      </c>
      <c r="C17" s="86" t="s">
        <v>619</v>
      </c>
      <c r="D17" s="108"/>
      <c r="E17" s="275">
        <v>1232</v>
      </c>
      <c r="F17" s="146"/>
      <c r="G17" s="147">
        <f t="shared" si="0"/>
        <v>100252</v>
      </c>
      <c r="H17" s="204"/>
      <c r="J17" s="151"/>
      <c r="K17" s="150"/>
    </row>
    <row r="18" spans="1:11" x14ac:dyDescent="0.3">
      <c r="A18" s="192" t="s">
        <v>1019</v>
      </c>
      <c r="B18" s="107" t="s">
        <v>1022</v>
      </c>
      <c r="C18" s="86" t="s">
        <v>678</v>
      </c>
      <c r="D18" s="108"/>
      <c r="E18" s="275">
        <v>4505</v>
      </c>
      <c r="F18" s="146"/>
      <c r="G18" s="147">
        <f t="shared" si="0"/>
        <v>95747</v>
      </c>
      <c r="H18" s="204"/>
      <c r="J18" s="151"/>
      <c r="K18" s="150"/>
    </row>
    <row r="19" spans="1:11" x14ac:dyDescent="0.3">
      <c r="A19" s="192" t="s">
        <v>1338</v>
      </c>
      <c r="B19" s="107" t="s">
        <v>1374</v>
      </c>
      <c r="C19" s="86" t="s">
        <v>1373</v>
      </c>
      <c r="D19" s="108"/>
      <c r="E19" s="275">
        <v>13920</v>
      </c>
      <c r="F19" s="146"/>
      <c r="G19" s="147">
        <f t="shared" si="0"/>
        <v>81827</v>
      </c>
      <c r="H19" s="204"/>
      <c r="J19" s="151"/>
      <c r="K19" s="150"/>
    </row>
    <row r="20" spans="1:11" x14ac:dyDescent="0.3">
      <c r="A20" s="192"/>
      <c r="B20" s="107"/>
      <c r="C20" s="86" t="s">
        <v>1479</v>
      </c>
      <c r="D20" s="108"/>
      <c r="E20" s="275">
        <v>-215</v>
      </c>
      <c r="F20" s="146"/>
      <c r="G20" s="147">
        <f t="shared" si="0"/>
        <v>82042</v>
      </c>
      <c r="H20" s="204"/>
      <c r="J20" s="151"/>
      <c r="K20" s="150"/>
    </row>
    <row r="21" spans="1:11" x14ac:dyDescent="0.3">
      <c r="A21" s="192" t="s">
        <v>1513</v>
      </c>
      <c r="B21" s="107" t="s">
        <v>1514</v>
      </c>
      <c r="C21" s="86" t="s">
        <v>839</v>
      </c>
      <c r="D21" s="108"/>
      <c r="E21" s="275">
        <v>5200</v>
      </c>
      <c r="F21" s="146"/>
      <c r="G21" s="147">
        <f t="shared" si="0"/>
        <v>76842</v>
      </c>
      <c r="H21" s="204"/>
      <c r="J21" s="151"/>
      <c r="K21" s="150"/>
    </row>
    <row r="22" spans="1:11" x14ac:dyDescent="0.3">
      <c r="A22" s="192"/>
      <c r="B22" s="107"/>
      <c r="C22" s="86"/>
      <c r="D22" s="108"/>
      <c r="E22" s="275"/>
      <c r="F22" s="146"/>
      <c r="G22" s="147"/>
      <c r="H22" s="204"/>
      <c r="J22" s="151"/>
      <c r="K22" s="150"/>
    </row>
    <row r="23" spans="1:11" x14ac:dyDescent="0.3">
      <c r="A23" s="192" t="s">
        <v>767</v>
      </c>
      <c r="B23" s="107" t="s">
        <v>768</v>
      </c>
      <c r="C23" s="86" t="s">
        <v>1160</v>
      </c>
      <c r="D23" s="108">
        <v>154904</v>
      </c>
      <c r="E23" s="275"/>
      <c r="F23" s="146"/>
      <c r="G23" s="147">
        <f>D23</f>
        <v>154904</v>
      </c>
      <c r="H23" s="204" t="s">
        <v>769</v>
      </c>
      <c r="J23" s="151"/>
      <c r="K23" s="150"/>
    </row>
    <row r="24" spans="1:11" x14ac:dyDescent="0.3">
      <c r="A24" s="192" t="s">
        <v>1520</v>
      </c>
      <c r="B24" s="107" t="s">
        <v>1521</v>
      </c>
      <c r="C24" s="86" t="s">
        <v>560</v>
      </c>
      <c r="D24" s="108"/>
      <c r="E24" s="275">
        <v>11100</v>
      </c>
      <c r="F24" s="146"/>
      <c r="G24" s="147">
        <f>G23-E24</f>
        <v>143804</v>
      </c>
      <c r="H24" s="204"/>
      <c r="J24" s="151"/>
      <c r="K24" s="150"/>
    </row>
    <row r="25" spans="1:11" x14ac:dyDescent="0.3">
      <c r="A25" s="192"/>
      <c r="B25" s="107"/>
      <c r="C25" s="86"/>
      <c r="D25" s="108"/>
      <c r="E25" s="275"/>
      <c r="F25" s="146"/>
      <c r="G25" s="147"/>
      <c r="H25" s="204"/>
      <c r="J25" s="151"/>
      <c r="K25" s="150"/>
    </row>
    <row r="26" spans="1:11" x14ac:dyDescent="0.3">
      <c r="A26" s="192"/>
      <c r="B26" s="107"/>
      <c r="C26" s="86"/>
      <c r="D26" s="108"/>
      <c r="E26" s="190"/>
      <c r="F26" s="146"/>
      <c r="G26" s="147"/>
      <c r="H26" s="204"/>
      <c r="J26" s="151"/>
      <c r="K26" s="150"/>
    </row>
    <row r="27" spans="1:11" x14ac:dyDescent="0.3">
      <c r="A27" s="192" t="s">
        <v>784</v>
      </c>
      <c r="B27" s="107" t="s">
        <v>785</v>
      </c>
      <c r="C27" s="203" t="s">
        <v>783</v>
      </c>
      <c r="D27" s="108">
        <v>29600</v>
      </c>
      <c r="E27" s="190"/>
      <c r="F27" s="146"/>
      <c r="G27" s="147">
        <v>29600</v>
      </c>
      <c r="H27" s="204" t="s">
        <v>276</v>
      </c>
      <c r="J27" s="151"/>
      <c r="K27" s="150"/>
    </row>
    <row r="28" spans="1:11" x14ac:dyDescent="0.3">
      <c r="A28" s="192" t="s">
        <v>1492</v>
      </c>
      <c r="B28" s="107" t="s">
        <v>1491</v>
      </c>
      <c r="C28" s="203" t="s">
        <v>1493</v>
      </c>
      <c r="D28" s="108"/>
      <c r="E28" s="108">
        <v>25000</v>
      </c>
      <c r="F28" s="101"/>
      <c r="G28" s="147">
        <f>G27-E28</f>
        <v>4600</v>
      </c>
      <c r="H28" s="204"/>
      <c r="J28" s="151"/>
      <c r="K28" s="150"/>
    </row>
    <row r="29" spans="1:11" x14ac:dyDescent="0.3">
      <c r="A29" s="192"/>
      <c r="B29" s="107"/>
      <c r="C29" s="203"/>
      <c r="D29" s="108"/>
      <c r="E29" s="190"/>
      <c r="F29" s="146"/>
      <c r="G29" s="147"/>
      <c r="H29" s="204"/>
      <c r="J29" s="151"/>
      <c r="K29" s="150"/>
    </row>
    <row r="30" spans="1:11" x14ac:dyDescent="0.3">
      <c r="A30" s="192" t="s">
        <v>851</v>
      </c>
      <c r="B30" s="107" t="s">
        <v>852</v>
      </c>
      <c r="C30" s="203" t="s">
        <v>853</v>
      </c>
      <c r="D30" s="108">
        <v>545320</v>
      </c>
      <c r="E30" s="190"/>
      <c r="F30" s="146"/>
      <c r="G30" s="147">
        <v>545320</v>
      </c>
      <c r="H30" s="204" t="s">
        <v>769</v>
      </c>
      <c r="J30" s="151"/>
      <c r="K30" s="150"/>
    </row>
    <row r="31" spans="1:11" x14ac:dyDescent="0.3">
      <c r="A31" s="192" t="s">
        <v>1054</v>
      </c>
      <c r="B31" s="107" t="s">
        <v>1068</v>
      </c>
      <c r="C31" s="203" t="s">
        <v>1324</v>
      </c>
      <c r="D31" s="108"/>
      <c r="E31" s="198">
        <v>434877.6</v>
      </c>
      <c r="F31" s="198"/>
      <c r="G31" s="161">
        <f>G30-E31</f>
        <v>110442.40000000002</v>
      </c>
      <c r="H31" s="204"/>
      <c r="J31" s="151"/>
      <c r="K31" s="150"/>
    </row>
    <row r="32" spans="1:11" x14ac:dyDescent="0.3">
      <c r="A32" s="192"/>
      <c r="B32" s="107"/>
      <c r="C32" s="203"/>
      <c r="D32" s="108"/>
      <c r="E32" s="190"/>
      <c r="F32" s="146"/>
      <c r="G32" s="147"/>
      <c r="H32" s="204"/>
      <c r="J32" s="151"/>
      <c r="K32" s="150"/>
    </row>
    <row r="33" spans="1:14" x14ac:dyDescent="0.3">
      <c r="A33" s="192"/>
      <c r="B33" s="107"/>
      <c r="C33" s="203"/>
      <c r="D33" s="108"/>
      <c r="E33" s="190"/>
      <c r="F33" s="146"/>
      <c r="G33" s="147"/>
      <c r="H33" s="204"/>
      <c r="J33" s="151"/>
      <c r="K33" s="150"/>
    </row>
    <row r="34" spans="1:14" x14ac:dyDescent="0.3">
      <c r="A34" s="192" t="s">
        <v>928</v>
      </c>
      <c r="B34" s="107" t="s">
        <v>929</v>
      </c>
      <c r="C34" s="203" t="s">
        <v>930</v>
      </c>
      <c r="D34" s="108">
        <v>6000</v>
      </c>
      <c r="E34" s="190"/>
      <c r="F34" s="146"/>
      <c r="G34" s="147">
        <v>6000</v>
      </c>
      <c r="H34" s="85" t="s">
        <v>633</v>
      </c>
      <c r="J34" s="151"/>
      <c r="K34" s="150"/>
    </row>
    <row r="35" spans="1:14" x14ac:dyDescent="0.3">
      <c r="A35" s="192"/>
      <c r="B35" s="107"/>
      <c r="C35" s="203"/>
      <c r="D35" s="108"/>
      <c r="E35" s="190"/>
      <c r="F35" s="146"/>
      <c r="G35" s="147"/>
      <c r="H35" s="276" t="s">
        <v>1045</v>
      </c>
      <c r="J35" s="151"/>
      <c r="K35" s="150"/>
    </row>
    <row r="36" spans="1:14" x14ac:dyDescent="0.3">
      <c r="A36" s="192"/>
      <c r="B36" s="107"/>
      <c r="C36" s="202"/>
      <c r="D36" s="146"/>
      <c r="E36" s="101"/>
      <c r="F36" s="101"/>
      <c r="G36" s="147"/>
      <c r="H36" s="162"/>
      <c r="J36" s="151"/>
      <c r="K36" s="150"/>
    </row>
    <row r="37" spans="1:14" ht="18" thickBot="1" x14ac:dyDescent="0.35">
      <c r="A37" s="118"/>
      <c r="B37" s="155"/>
      <c r="C37" s="143" t="s">
        <v>102</v>
      </c>
      <c r="D37" s="182">
        <f>SUM(D6:D36)</f>
        <v>888608</v>
      </c>
      <c r="E37" s="182">
        <f>SUM(E6:E36)</f>
        <v>537301.6</v>
      </c>
      <c r="F37" s="182">
        <f>SUM(F6:F36)</f>
        <v>0</v>
      </c>
      <c r="G37" s="173">
        <f>D37-E37-F37</f>
        <v>351306.4</v>
      </c>
      <c r="H37" s="104"/>
      <c r="J37" s="151"/>
      <c r="K37" s="150"/>
    </row>
    <row r="38" spans="1:14" ht="18" thickTop="1" x14ac:dyDescent="0.3">
      <c r="D38" s="149"/>
      <c r="F38" s="189"/>
      <c r="G38" s="214"/>
      <c r="J38" s="151"/>
      <c r="K38" s="150"/>
    </row>
    <row r="39" spans="1:14" x14ac:dyDescent="0.3">
      <c r="D39" s="149"/>
      <c r="E39" s="144"/>
      <c r="F39" s="176"/>
      <c r="G39" s="144"/>
    </row>
    <row r="40" spans="1:14" x14ac:dyDescent="0.3">
      <c r="D40" s="149"/>
      <c r="E40" s="144"/>
      <c r="G40" s="144"/>
      <c r="L40" s="144"/>
    </row>
    <row r="41" spans="1:14" x14ac:dyDescent="0.3">
      <c r="C41" s="176"/>
      <c r="E41" s="144"/>
      <c r="G41" s="176"/>
      <c r="L41" s="144"/>
    </row>
    <row r="42" spans="1:14" x14ac:dyDescent="0.3">
      <c r="C42" s="176"/>
      <c r="E42" s="176"/>
      <c r="G42" s="176"/>
      <c r="L42" s="176"/>
      <c r="N42" s="176"/>
    </row>
    <row r="43" spans="1:14" x14ac:dyDescent="0.3">
      <c r="E43" s="151"/>
      <c r="F43" s="144"/>
      <c r="G43" s="176"/>
      <c r="L43" s="144"/>
      <c r="M43" s="144"/>
      <c r="N43" s="176"/>
    </row>
    <row r="44" spans="1:14" x14ac:dyDescent="0.3">
      <c r="B44" s="150"/>
      <c r="C44" s="158"/>
      <c r="D44" s="183"/>
      <c r="E44" s="184"/>
      <c r="G44" s="185"/>
      <c r="N44" s="185"/>
    </row>
    <row r="45" spans="1:14" x14ac:dyDescent="0.3">
      <c r="B45" s="150"/>
      <c r="C45" s="150"/>
      <c r="D45" s="152"/>
      <c r="E45" s="151"/>
    </row>
    <row r="46" spans="1:14" x14ac:dyDescent="0.3">
      <c r="B46" s="150"/>
      <c r="C46" s="150"/>
      <c r="D46" s="152"/>
      <c r="E46" s="151"/>
      <c r="G46" s="144"/>
      <c r="N46" s="144"/>
    </row>
    <row r="47" spans="1:14" x14ac:dyDescent="0.3">
      <c r="B47" s="150"/>
      <c r="C47" s="150"/>
      <c r="D47" s="152"/>
      <c r="E47" s="151"/>
      <c r="G47" s="144"/>
    </row>
    <row r="48" spans="1:14" x14ac:dyDescent="0.3">
      <c r="B48" s="150"/>
      <c r="C48" s="150"/>
      <c r="D48" s="186"/>
      <c r="E48" s="158"/>
    </row>
    <row r="49" spans="2:5" x14ac:dyDescent="0.3">
      <c r="B49" s="150"/>
      <c r="C49" s="150"/>
      <c r="D49" s="150"/>
      <c r="E49" s="151"/>
    </row>
    <row r="50" spans="2:5" x14ac:dyDescent="0.3">
      <c r="B50" s="150"/>
      <c r="C50" s="150"/>
      <c r="D50" s="150"/>
      <c r="E50" s="158"/>
    </row>
  </sheetData>
  <mergeCells count="2">
    <mergeCell ref="A1:H1"/>
    <mergeCell ref="A2:H2"/>
  </mergeCells>
  <pageMargins left="0.27" right="0.15" top="0.39" bottom="0.15748031496062992" header="0.15748031496062992" footer="0.1574803149606299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K16" sqref="K16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2" style="88" customWidth="1"/>
    <col min="6" max="6" width="7.14062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1552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189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928</v>
      </c>
      <c r="B7" s="107" t="s">
        <v>929</v>
      </c>
      <c r="C7" s="203" t="s">
        <v>930</v>
      </c>
      <c r="D7" s="103"/>
      <c r="E7" s="103"/>
      <c r="F7" s="103"/>
      <c r="G7" s="226"/>
      <c r="H7" s="276" t="s">
        <v>1045</v>
      </c>
    </row>
    <row r="8" spans="1:12" x14ac:dyDescent="0.3">
      <c r="A8" s="192" t="s">
        <v>1062</v>
      </c>
      <c r="B8" s="100" t="s">
        <v>1093</v>
      </c>
      <c r="C8" s="50" t="s">
        <v>103</v>
      </c>
      <c r="D8" s="103">
        <v>2000</v>
      </c>
      <c r="E8" s="103">
        <v>2000</v>
      </c>
      <c r="F8" s="103"/>
      <c r="G8" s="102">
        <f>D8-E8</f>
        <v>0</v>
      </c>
      <c r="H8" s="104"/>
    </row>
    <row r="9" spans="1:12" x14ac:dyDescent="0.3">
      <c r="A9" s="192" t="s">
        <v>634</v>
      </c>
      <c r="B9" s="100" t="s">
        <v>1052</v>
      </c>
      <c r="C9" s="50" t="s">
        <v>1046</v>
      </c>
      <c r="D9" s="103">
        <v>2000</v>
      </c>
      <c r="E9" s="103">
        <v>2000</v>
      </c>
      <c r="F9" s="103"/>
      <c r="G9" s="102">
        <f t="shared" ref="G9:G19" si="0">D9-E9</f>
        <v>0</v>
      </c>
      <c r="H9" s="104"/>
    </row>
    <row r="10" spans="1:12" x14ac:dyDescent="0.3">
      <c r="A10" s="192" t="s">
        <v>1062</v>
      </c>
      <c r="B10" s="100" t="s">
        <v>1092</v>
      </c>
      <c r="C10" s="50" t="s">
        <v>1047</v>
      </c>
      <c r="D10" s="103">
        <v>2000</v>
      </c>
      <c r="E10" s="103">
        <v>2000</v>
      </c>
      <c r="F10" s="103"/>
      <c r="G10" s="102">
        <f t="shared" si="0"/>
        <v>0</v>
      </c>
      <c r="H10" s="104"/>
    </row>
    <row r="11" spans="1:12" x14ac:dyDescent="0.3">
      <c r="A11" s="192" t="s">
        <v>1107</v>
      </c>
      <c r="B11" s="100" t="s">
        <v>1102</v>
      </c>
      <c r="C11" s="50" t="s">
        <v>39</v>
      </c>
      <c r="D11" s="103">
        <v>2000</v>
      </c>
      <c r="E11" s="103">
        <v>2000</v>
      </c>
      <c r="F11" s="103"/>
      <c r="G11" s="102">
        <f t="shared" si="0"/>
        <v>0</v>
      </c>
      <c r="H11" s="104"/>
    </row>
    <row r="12" spans="1:12" x14ac:dyDescent="0.3">
      <c r="A12" s="192" t="s">
        <v>634</v>
      </c>
      <c r="B12" s="100" t="s">
        <v>1052</v>
      </c>
      <c r="C12" s="50" t="s">
        <v>1048</v>
      </c>
      <c r="D12" s="103">
        <v>2000</v>
      </c>
      <c r="E12" s="103">
        <v>2000</v>
      </c>
      <c r="F12" s="103"/>
      <c r="G12" s="102">
        <f t="shared" si="0"/>
        <v>0</v>
      </c>
      <c r="H12" s="104"/>
    </row>
    <row r="13" spans="1:12" x14ac:dyDescent="0.3">
      <c r="A13" s="192" t="s">
        <v>1107</v>
      </c>
      <c r="B13" s="100" t="s">
        <v>1102</v>
      </c>
      <c r="C13" s="86" t="s">
        <v>108</v>
      </c>
      <c r="D13" s="103">
        <v>2000</v>
      </c>
      <c r="E13" s="103">
        <v>2000</v>
      </c>
      <c r="F13" s="146"/>
      <c r="G13" s="102">
        <f t="shared" si="0"/>
        <v>0</v>
      </c>
      <c r="H13" s="204"/>
      <c r="K13" s="151"/>
      <c r="L13" s="150"/>
    </row>
    <row r="14" spans="1:12" x14ac:dyDescent="0.3">
      <c r="A14" s="192" t="s">
        <v>1062</v>
      </c>
      <c r="B14" s="100" t="s">
        <v>1091</v>
      </c>
      <c r="C14" s="86" t="s">
        <v>401</v>
      </c>
      <c r="D14" s="103">
        <v>2000</v>
      </c>
      <c r="E14" s="103">
        <v>2000</v>
      </c>
      <c r="F14" s="101"/>
      <c r="G14" s="102">
        <f t="shared" si="0"/>
        <v>0</v>
      </c>
      <c r="H14" s="204"/>
      <c r="K14" s="151"/>
      <c r="L14" s="150"/>
    </row>
    <row r="15" spans="1:12" x14ac:dyDescent="0.3">
      <c r="A15" s="192"/>
      <c r="B15" s="100" t="s">
        <v>1142</v>
      </c>
      <c r="C15" s="86" t="s">
        <v>109</v>
      </c>
      <c r="D15" s="103">
        <v>2000</v>
      </c>
      <c r="E15" s="103">
        <v>2000</v>
      </c>
      <c r="F15" s="146"/>
      <c r="G15" s="102">
        <f t="shared" si="0"/>
        <v>0</v>
      </c>
      <c r="H15" s="204"/>
      <c r="K15" s="151"/>
      <c r="L15" s="150"/>
    </row>
    <row r="16" spans="1:12" x14ac:dyDescent="0.3">
      <c r="A16" s="192" t="s">
        <v>1062</v>
      </c>
      <c r="B16" s="100" t="s">
        <v>1093</v>
      </c>
      <c r="C16" s="86" t="s">
        <v>1049</v>
      </c>
      <c r="D16" s="103">
        <v>2000</v>
      </c>
      <c r="E16" s="103">
        <v>2000</v>
      </c>
      <c r="F16" s="146"/>
      <c r="G16" s="102">
        <f t="shared" si="0"/>
        <v>0</v>
      </c>
      <c r="H16" s="204"/>
      <c r="K16" s="151"/>
      <c r="L16" s="150"/>
    </row>
    <row r="17" spans="1:15" x14ac:dyDescent="0.3">
      <c r="A17" s="192" t="s">
        <v>634</v>
      </c>
      <c r="B17" s="100" t="s">
        <v>1052</v>
      </c>
      <c r="C17" s="86" t="s">
        <v>1050</v>
      </c>
      <c r="D17" s="103">
        <v>2000</v>
      </c>
      <c r="E17" s="103">
        <v>2000</v>
      </c>
      <c r="F17" s="198"/>
      <c r="G17" s="102">
        <f t="shared" si="0"/>
        <v>0</v>
      </c>
      <c r="H17" s="204"/>
      <c r="K17" s="151"/>
      <c r="L17" s="150"/>
    </row>
    <row r="18" spans="1:15" x14ac:dyDescent="0.3">
      <c r="A18" s="192"/>
      <c r="B18" s="100" t="s">
        <v>1143</v>
      </c>
      <c r="C18" s="86" t="s">
        <v>42</v>
      </c>
      <c r="D18" s="103">
        <v>2000</v>
      </c>
      <c r="E18" s="103">
        <v>2000</v>
      </c>
      <c r="F18" s="146"/>
      <c r="G18" s="102">
        <f t="shared" si="0"/>
        <v>0</v>
      </c>
      <c r="H18" s="204"/>
      <c r="K18" s="151"/>
      <c r="L18" s="150"/>
    </row>
    <row r="19" spans="1:15" x14ac:dyDescent="0.3">
      <c r="A19" s="192" t="s">
        <v>634</v>
      </c>
      <c r="B19" s="100" t="s">
        <v>1053</v>
      </c>
      <c r="C19" s="86" t="s">
        <v>1051</v>
      </c>
      <c r="D19" s="103">
        <v>2000</v>
      </c>
      <c r="E19" s="103">
        <v>2000</v>
      </c>
      <c r="F19" s="146"/>
      <c r="G19" s="102">
        <f t="shared" si="0"/>
        <v>0</v>
      </c>
      <c r="H19" s="204"/>
      <c r="K19" s="151"/>
      <c r="L19" s="150"/>
    </row>
    <row r="20" spans="1:15" x14ac:dyDescent="0.3">
      <c r="A20" s="192"/>
      <c r="B20" s="107"/>
      <c r="C20" s="203"/>
      <c r="D20" s="108"/>
      <c r="E20" s="190"/>
      <c r="F20" s="146"/>
      <c r="G20" s="147"/>
      <c r="H20" s="85"/>
      <c r="K20" s="151"/>
      <c r="L20" s="150"/>
    </row>
    <row r="21" spans="1:15" x14ac:dyDescent="0.3">
      <c r="A21" s="192"/>
      <c r="B21" s="107"/>
      <c r="C21" s="203"/>
      <c r="D21" s="108"/>
      <c r="E21" s="190"/>
      <c r="F21" s="146"/>
      <c r="G21" s="147"/>
      <c r="H21" s="276"/>
      <c r="K21" s="151"/>
      <c r="L21" s="150"/>
    </row>
    <row r="22" spans="1:15" x14ac:dyDescent="0.3">
      <c r="A22" s="192"/>
      <c r="B22" s="107"/>
      <c r="C22" s="202"/>
      <c r="D22" s="146"/>
      <c r="E22" s="101"/>
      <c r="F22" s="101"/>
      <c r="G22" s="147"/>
      <c r="H22" s="162"/>
      <c r="K22" s="151"/>
      <c r="L22" s="150"/>
    </row>
    <row r="23" spans="1:15" ht="18" thickBot="1" x14ac:dyDescent="0.35">
      <c r="A23" s="118"/>
      <c r="B23" s="155"/>
      <c r="C23" s="143" t="s">
        <v>102</v>
      </c>
      <c r="D23" s="182">
        <f>SUM(D7:D22)</f>
        <v>24000</v>
      </c>
      <c r="E23" s="182">
        <f>SUM(E7:E22)</f>
        <v>24000</v>
      </c>
      <c r="F23" s="182">
        <f>SUM(F7:F22)</f>
        <v>0</v>
      </c>
      <c r="G23" s="173">
        <f>D23-E23-F23</f>
        <v>0</v>
      </c>
      <c r="H23" s="104"/>
      <c r="K23" s="151"/>
      <c r="L23" s="150"/>
    </row>
    <row r="24" spans="1:15" ht="18" thickTop="1" x14ac:dyDescent="0.3">
      <c r="D24" s="149"/>
      <c r="F24" s="189"/>
      <c r="G24" s="214"/>
      <c r="J24" s="167"/>
      <c r="K24" s="151"/>
      <c r="L24" s="150"/>
    </row>
    <row r="25" spans="1:15" x14ac:dyDescent="0.3">
      <c r="D25" s="149"/>
      <c r="E25" s="144"/>
      <c r="F25" s="176"/>
      <c r="G25" s="144"/>
      <c r="J25" s="167"/>
    </row>
    <row r="26" spans="1:15" x14ac:dyDescent="0.3">
      <c r="D26" s="149"/>
      <c r="E26" s="144"/>
      <c r="G26" s="144"/>
      <c r="J26" s="144"/>
      <c r="M26" s="144"/>
    </row>
    <row r="27" spans="1:15" x14ac:dyDescent="0.3">
      <c r="C27" s="176"/>
      <c r="E27" s="144"/>
      <c r="G27" s="176"/>
      <c r="M27" s="144"/>
    </row>
    <row r="28" spans="1:15" x14ac:dyDescent="0.3">
      <c r="C28" s="176"/>
      <c r="E28" s="176"/>
      <c r="G28" s="176"/>
      <c r="M28" s="176"/>
      <c r="O28" s="176"/>
    </row>
    <row r="29" spans="1:15" x14ac:dyDescent="0.3">
      <c r="E29" s="151"/>
      <c r="F29" s="144"/>
      <c r="G29" s="176"/>
      <c r="M29" s="144"/>
      <c r="N29" s="144"/>
      <c r="O29" s="176"/>
    </row>
    <row r="30" spans="1:15" x14ac:dyDescent="0.3">
      <c r="B30" s="150"/>
      <c r="C30" s="158"/>
      <c r="D30" s="183"/>
      <c r="E30" s="184"/>
      <c r="G30" s="185"/>
      <c r="O30" s="185"/>
    </row>
    <row r="31" spans="1:15" x14ac:dyDescent="0.3">
      <c r="B31" s="150"/>
      <c r="C31" s="150"/>
      <c r="D31" s="152"/>
      <c r="E31" s="151"/>
    </row>
    <row r="32" spans="1:15" x14ac:dyDescent="0.3">
      <c r="B32" s="150"/>
      <c r="C32" s="150"/>
      <c r="D32" s="152"/>
      <c r="E32" s="151"/>
      <c r="G32" s="144"/>
      <c r="O32" s="144"/>
    </row>
    <row r="33" spans="2:7" x14ac:dyDescent="0.3">
      <c r="B33" s="150"/>
      <c r="C33" s="150"/>
      <c r="D33" s="152"/>
      <c r="E33" s="151"/>
      <c r="G33" s="144"/>
    </row>
    <row r="34" spans="2:7" x14ac:dyDescent="0.3">
      <c r="B34" s="150"/>
      <c r="C34" s="150"/>
      <c r="D34" s="186"/>
      <c r="E34" s="158"/>
    </row>
    <row r="35" spans="2:7" x14ac:dyDescent="0.3">
      <c r="B35" s="150"/>
      <c r="C35" s="150"/>
      <c r="D35" s="150"/>
      <c r="E35" s="151"/>
    </row>
    <row r="36" spans="2:7" x14ac:dyDescent="0.3">
      <c r="B36" s="150"/>
      <c r="C36" s="150"/>
      <c r="D36" s="150"/>
      <c r="E36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D16" sqref="D16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1.140625" style="88" customWidth="1"/>
    <col min="6" max="6" width="8.570312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1552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199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191</v>
      </c>
      <c r="B7" s="100" t="s">
        <v>200</v>
      </c>
      <c r="C7" s="50" t="s">
        <v>201</v>
      </c>
      <c r="D7" s="103">
        <v>50000</v>
      </c>
      <c r="E7" s="103"/>
      <c r="F7" s="103"/>
      <c r="G7" s="226">
        <f>D7</f>
        <v>50000</v>
      </c>
      <c r="H7" s="85" t="s">
        <v>1325</v>
      </c>
    </row>
    <row r="8" spans="1:12" x14ac:dyDescent="0.3">
      <c r="A8" s="192"/>
      <c r="B8" s="100"/>
      <c r="C8" s="50"/>
      <c r="D8" s="103"/>
      <c r="E8" s="103"/>
      <c r="F8" s="103"/>
      <c r="G8" s="147">
        <f>G7-E8</f>
        <v>50000</v>
      </c>
      <c r="H8" s="104"/>
    </row>
    <row r="9" spans="1:12" x14ac:dyDescent="0.3">
      <c r="A9" s="192"/>
      <c r="B9" s="100"/>
      <c r="C9" s="50"/>
      <c r="D9" s="103"/>
      <c r="E9" s="103"/>
      <c r="F9" s="103"/>
      <c r="G9" s="102"/>
      <c r="H9" s="104"/>
    </row>
    <row r="10" spans="1:12" x14ac:dyDescent="0.3">
      <c r="A10" s="192" t="s">
        <v>191</v>
      </c>
      <c r="B10" s="100" t="s">
        <v>200</v>
      </c>
      <c r="C10" s="50" t="s">
        <v>201</v>
      </c>
      <c r="D10" s="103">
        <v>100000</v>
      </c>
      <c r="E10" s="103"/>
      <c r="F10" s="103"/>
      <c r="G10" s="102">
        <f>D10</f>
        <v>100000</v>
      </c>
      <c r="H10" s="104" t="s">
        <v>581</v>
      </c>
    </row>
    <row r="11" spans="1:12" x14ac:dyDescent="0.3">
      <c r="A11" s="192" t="s">
        <v>1062</v>
      </c>
      <c r="B11" s="100" t="s">
        <v>1094</v>
      </c>
      <c r="C11" s="50" t="s">
        <v>560</v>
      </c>
      <c r="D11" s="103"/>
      <c r="E11" s="103">
        <v>3900</v>
      </c>
      <c r="F11" s="103"/>
      <c r="G11" s="102">
        <f>G10-E11</f>
        <v>96100</v>
      </c>
      <c r="H11" s="104"/>
    </row>
    <row r="12" spans="1:12" x14ac:dyDescent="0.3">
      <c r="A12" s="192"/>
      <c r="B12" s="100"/>
      <c r="C12" s="50"/>
      <c r="D12" s="103"/>
      <c r="E12" s="103"/>
      <c r="F12" s="103"/>
      <c r="G12" s="102"/>
      <c r="H12" s="85"/>
      <c r="K12" s="151"/>
      <c r="L12" s="150"/>
    </row>
    <row r="13" spans="1:12" x14ac:dyDescent="0.3">
      <c r="A13" s="192" t="s">
        <v>1130</v>
      </c>
      <c r="B13" s="107" t="s">
        <v>1146</v>
      </c>
      <c r="C13" s="203" t="s">
        <v>1147</v>
      </c>
      <c r="D13" s="108">
        <v>3700</v>
      </c>
      <c r="E13" s="190"/>
      <c r="F13" s="146"/>
      <c r="G13" s="147">
        <v>3700</v>
      </c>
      <c r="H13" s="204" t="s">
        <v>19</v>
      </c>
      <c r="K13" s="151"/>
      <c r="L13" s="150"/>
    </row>
    <row r="14" spans="1:12" x14ac:dyDescent="0.3">
      <c r="A14" s="192" t="s">
        <v>1184</v>
      </c>
      <c r="B14" s="107" t="s">
        <v>1247</v>
      </c>
      <c r="C14" s="86" t="s">
        <v>1248</v>
      </c>
      <c r="D14" s="108"/>
      <c r="E14" s="108">
        <v>1240</v>
      </c>
      <c r="F14" s="146"/>
      <c r="G14" s="147">
        <f>G13-E14</f>
        <v>2460</v>
      </c>
      <c r="H14" s="204"/>
      <c r="K14" s="151"/>
      <c r="L14" s="150"/>
    </row>
    <row r="15" spans="1:12" x14ac:dyDescent="0.3">
      <c r="A15" s="192"/>
      <c r="B15" s="107"/>
      <c r="C15" s="86"/>
      <c r="D15" s="108"/>
      <c r="E15" s="190"/>
      <c r="F15" s="146"/>
      <c r="G15" s="147"/>
      <c r="H15" s="204"/>
      <c r="K15" s="151"/>
      <c r="L15" s="150"/>
    </row>
    <row r="16" spans="1:12" x14ac:dyDescent="0.3">
      <c r="A16" s="192"/>
      <c r="B16" s="107"/>
      <c r="C16" s="86"/>
      <c r="D16" s="108"/>
      <c r="E16" s="190"/>
      <c r="F16" s="146"/>
      <c r="G16" s="147"/>
      <c r="H16" s="204"/>
      <c r="K16" s="151"/>
      <c r="L16" s="150"/>
    </row>
    <row r="17" spans="1:15" x14ac:dyDescent="0.3">
      <c r="A17" s="192"/>
      <c r="B17" s="107"/>
      <c r="C17" s="203"/>
      <c r="D17" s="108"/>
      <c r="E17" s="190"/>
      <c r="F17" s="146"/>
      <c r="G17" s="147"/>
      <c r="H17" s="204"/>
      <c r="K17" s="151"/>
      <c r="L17" s="150"/>
    </row>
    <row r="18" spans="1:15" x14ac:dyDescent="0.3">
      <c r="A18" s="192"/>
      <c r="B18" s="107"/>
      <c r="C18" s="203"/>
      <c r="D18" s="108"/>
      <c r="E18" s="190"/>
      <c r="F18" s="101"/>
      <c r="G18" s="147"/>
      <c r="H18" s="204"/>
      <c r="K18" s="151"/>
      <c r="L18" s="150"/>
    </row>
    <row r="19" spans="1:15" x14ac:dyDescent="0.3">
      <c r="A19" s="192"/>
      <c r="B19" s="107"/>
      <c r="C19" s="203"/>
      <c r="D19" s="108"/>
      <c r="E19" s="190"/>
      <c r="F19" s="146"/>
      <c r="G19" s="147"/>
      <c r="H19" s="204"/>
      <c r="K19" s="151"/>
      <c r="L19" s="150"/>
    </row>
    <row r="20" spans="1:15" x14ac:dyDescent="0.3">
      <c r="A20" s="192"/>
      <c r="B20" s="107"/>
      <c r="C20" s="203"/>
      <c r="D20" s="108"/>
      <c r="E20" s="190"/>
      <c r="F20" s="146"/>
      <c r="G20" s="147"/>
      <c r="H20" s="204"/>
      <c r="K20" s="151"/>
      <c r="L20" s="150"/>
    </row>
    <row r="21" spans="1:15" x14ac:dyDescent="0.3">
      <c r="A21" s="192"/>
      <c r="B21" s="107"/>
      <c r="C21" s="203"/>
      <c r="D21" s="108"/>
      <c r="E21" s="190"/>
      <c r="F21" s="146"/>
      <c r="G21" s="147"/>
      <c r="H21" s="204"/>
      <c r="K21" s="151"/>
      <c r="L21" s="150"/>
    </row>
    <row r="22" spans="1:15" x14ac:dyDescent="0.3">
      <c r="A22" s="192"/>
      <c r="B22" s="107"/>
      <c r="C22" s="202"/>
      <c r="D22" s="146"/>
      <c r="E22" s="101"/>
      <c r="F22" s="101"/>
      <c r="G22" s="147"/>
      <c r="H22" s="162"/>
      <c r="K22" s="151"/>
      <c r="L22" s="150"/>
    </row>
    <row r="23" spans="1:15" ht="18" thickBot="1" x14ac:dyDescent="0.35">
      <c r="A23" s="118"/>
      <c r="B23" s="155"/>
      <c r="C23" s="143" t="s">
        <v>102</v>
      </c>
      <c r="D23" s="182">
        <f>SUM(D7:D22)</f>
        <v>153700</v>
      </c>
      <c r="E23" s="182">
        <f>SUM(E7:E22)</f>
        <v>5140</v>
      </c>
      <c r="F23" s="182">
        <f>SUM(F7:F22)</f>
        <v>0</v>
      </c>
      <c r="G23" s="173">
        <f>D23-E23-F23</f>
        <v>148560</v>
      </c>
      <c r="H23" s="104"/>
      <c r="K23" s="151"/>
      <c r="L23" s="150"/>
    </row>
    <row r="24" spans="1:15" ht="18" thickTop="1" x14ac:dyDescent="0.3">
      <c r="D24" s="149"/>
      <c r="F24" s="189"/>
      <c r="G24" s="214"/>
      <c r="J24" s="167"/>
      <c r="K24" s="151"/>
      <c r="L24" s="150"/>
    </row>
    <row r="25" spans="1:15" x14ac:dyDescent="0.3">
      <c r="D25" s="149"/>
      <c r="E25" s="144"/>
      <c r="F25" s="176"/>
      <c r="G25" s="144"/>
      <c r="J25" s="167"/>
    </row>
    <row r="26" spans="1:15" x14ac:dyDescent="0.3">
      <c r="D26" s="149"/>
      <c r="E26" s="144"/>
      <c r="G26" s="144"/>
      <c r="J26" s="144"/>
      <c r="M26" s="144"/>
    </row>
    <row r="27" spans="1:15" x14ac:dyDescent="0.3">
      <c r="C27" s="176"/>
      <c r="E27" s="144"/>
      <c r="G27" s="176"/>
      <c r="M27" s="144"/>
    </row>
    <row r="28" spans="1:15" x14ac:dyDescent="0.3">
      <c r="C28" s="176"/>
      <c r="E28" s="176"/>
      <c r="G28" s="176"/>
      <c r="M28" s="176"/>
      <c r="O28" s="176"/>
    </row>
    <row r="29" spans="1:15" x14ac:dyDescent="0.3">
      <c r="E29" s="151"/>
      <c r="F29" s="144"/>
      <c r="G29" s="176"/>
      <c r="M29" s="144"/>
      <c r="N29" s="144"/>
      <c r="O29" s="176"/>
    </row>
    <row r="30" spans="1:15" x14ac:dyDescent="0.3">
      <c r="B30" s="150"/>
      <c r="C30" s="158"/>
      <c r="D30" s="183"/>
      <c r="E30" s="184"/>
      <c r="G30" s="185"/>
      <c r="O30" s="185"/>
    </row>
    <row r="31" spans="1:15" x14ac:dyDescent="0.3">
      <c r="B31" s="150"/>
      <c r="C31" s="150"/>
      <c r="D31" s="152"/>
      <c r="E31" s="151"/>
    </row>
    <row r="32" spans="1:15" x14ac:dyDescent="0.3">
      <c r="B32" s="150"/>
      <c r="C32" s="150"/>
      <c r="D32" s="152"/>
      <c r="E32" s="151"/>
      <c r="G32" s="144"/>
      <c r="O32" s="144"/>
    </row>
    <row r="33" spans="2:7" x14ac:dyDescent="0.3">
      <c r="B33" s="150"/>
      <c r="C33" s="150"/>
      <c r="D33" s="152"/>
      <c r="E33" s="151"/>
      <c r="G33" s="144"/>
    </row>
    <row r="34" spans="2:7" x14ac:dyDescent="0.3">
      <c r="B34" s="150"/>
      <c r="C34" s="150"/>
      <c r="D34" s="186"/>
      <c r="E34" s="158"/>
    </row>
    <row r="35" spans="2:7" x14ac:dyDescent="0.3">
      <c r="B35" s="150"/>
      <c r="C35" s="150"/>
      <c r="D35" s="150"/>
      <c r="E35" s="151"/>
    </row>
    <row r="36" spans="2:7" x14ac:dyDescent="0.3">
      <c r="B36" s="150"/>
      <c r="C36" s="150"/>
      <c r="D36" s="150"/>
      <c r="E36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topLeftCell="A17" workbookViewId="0">
      <selection activeCell="M31" sqref="M31"/>
    </sheetView>
  </sheetViews>
  <sheetFormatPr defaultRowHeight="12.75" x14ac:dyDescent="0.2"/>
  <cols>
    <col min="1" max="1" width="4" customWidth="1"/>
    <col min="2" max="2" width="22.5703125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7109375" customWidth="1"/>
    <col min="9" max="9" width="18.7109375" customWidth="1"/>
    <col min="10" max="10" width="12.7109375" customWidth="1"/>
    <col min="11" max="11" width="10.85546875" customWidth="1"/>
    <col min="12" max="12" width="10.28515625" bestFit="1" customWidth="1"/>
  </cols>
  <sheetData>
    <row r="3" spans="1:10" ht="21" x14ac:dyDescent="0.35">
      <c r="A3" s="333" t="s">
        <v>958</v>
      </c>
      <c r="B3" s="333"/>
      <c r="C3" s="333"/>
      <c r="D3" s="333"/>
      <c r="E3" s="333"/>
      <c r="F3" s="333"/>
      <c r="G3" s="333"/>
      <c r="I3" s="13"/>
      <c r="J3" s="13"/>
    </row>
    <row r="4" spans="1:10" ht="21.75" x14ac:dyDescent="0.4">
      <c r="A4" s="333" t="s">
        <v>13</v>
      </c>
      <c r="B4" s="333"/>
      <c r="C4" s="333"/>
      <c r="D4" s="333"/>
      <c r="E4" s="333"/>
      <c r="F4" s="333"/>
      <c r="G4" s="333"/>
      <c r="I4" s="13"/>
      <c r="J4" s="70"/>
    </row>
    <row r="5" spans="1:10" ht="21" x14ac:dyDescent="0.35">
      <c r="A5" s="333" t="s">
        <v>1540</v>
      </c>
      <c r="B5" s="333"/>
      <c r="C5" s="333"/>
      <c r="D5" s="333"/>
      <c r="E5" s="333"/>
      <c r="F5" s="333"/>
      <c r="G5" s="333"/>
      <c r="I5" s="13"/>
    </row>
    <row r="6" spans="1:10" ht="21" x14ac:dyDescent="0.35">
      <c r="A6" s="16" t="s">
        <v>7</v>
      </c>
      <c r="B6" s="16"/>
      <c r="C6" s="16"/>
      <c r="D6" s="16"/>
      <c r="E6" s="16"/>
      <c r="F6" s="16"/>
      <c r="G6" s="16"/>
      <c r="I6" s="13"/>
    </row>
    <row r="7" spans="1:10" ht="21" x14ac:dyDescent="0.35">
      <c r="A7" s="17" t="s">
        <v>8</v>
      </c>
      <c r="B7" s="18" t="s">
        <v>4</v>
      </c>
      <c r="C7" s="17" t="s">
        <v>9</v>
      </c>
      <c r="D7" s="18" t="s">
        <v>38</v>
      </c>
      <c r="E7" s="17" t="s">
        <v>25</v>
      </c>
      <c r="F7" s="17" t="s">
        <v>2</v>
      </c>
      <c r="G7" s="220" t="s">
        <v>10</v>
      </c>
      <c r="H7" s="219" t="s">
        <v>3</v>
      </c>
      <c r="I7" s="13"/>
    </row>
    <row r="8" spans="1:10" ht="21" x14ac:dyDescent="0.35">
      <c r="A8" s="19"/>
      <c r="B8" s="20"/>
      <c r="C8" s="19"/>
      <c r="D8" s="20"/>
      <c r="E8" s="216" t="s">
        <v>134</v>
      </c>
      <c r="F8" s="19"/>
      <c r="G8" s="216" t="s">
        <v>11</v>
      </c>
      <c r="H8" s="19"/>
      <c r="I8" s="13"/>
      <c r="J8" s="13"/>
    </row>
    <row r="9" spans="1:10" ht="18.75" x14ac:dyDescent="0.3">
      <c r="A9" s="6"/>
      <c r="B9" s="7"/>
      <c r="C9" s="71"/>
      <c r="D9" s="41"/>
      <c r="E9" s="40"/>
      <c r="F9" s="37"/>
      <c r="G9" s="31"/>
      <c r="H9" s="217"/>
      <c r="I9" s="13"/>
      <c r="J9" s="13"/>
    </row>
    <row r="10" spans="1:10" ht="18.75" x14ac:dyDescent="0.3">
      <c r="A10" s="32">
        <v>1</v>
      </c>
      <c r="B10" s="7" t="s">
        <v>5</v>
      </c>
      <c r="C10" s="48">
        <v>69295317</v>
      </c>
      <c r="D10" s="9">
        <v>42288379.890000001</v>
      </c>
      <c r="E10" s="43"/>
      <c r="F10" s="30">
        <f>C10-D10-E10</f>
        <v>27006937.109999999</v>
      </c>
      <c r="G10" s="31">
        <f>D10*100/C10</f>
        <v>61.026317103073502</v>
      </c>
      <c r="H10" s="218"/>
      <c r="I10" s="13"/>
      <c r="J10" s="13"/>
    </row>
    <row r="11" spans="1:10" ht="18.75" x14ac:dyDescent="0.3">
      <c r="A11" s="6">
        <v>2</v>
      </c>
      <c r="B11" s="52" t="s">
        <v>968</v>
      </c>
      <c r="C11" s="48">
        <v>50680120</v>
      </c>
      <c r="D11" s="66">
        <v>9332459.6799999997</v>
      </c>
      <c r="E11" s="161">
        <v>27768583</v>
      </c>
      <c r="F11" s="30">
        <f>C11-D11-E11</f>
        <v>13579077.32</v>
      </c>
      <c r="G11" s="31">
        <f>D11*100/C11</f>
        <v>18.414438797698189</v>
      </c>
      <c r="H11" s="8"/>
      <c r="I11" s="13"/>
    </row>
    <row r="12" spans="1:10" ht="18.75" x14ac:dyDescent="0.3">
      <c r="A12" s="32"/>
      <c r="B12" s="52"/>
      <c r="C12" s="8"/>
      <c r="D12" s="8"/>
      <c r="E12" s="58"/>
      <c r="F12" s="30"/>
      <c r="G12" s="31"/>
      <c r="H12" s="8"/>
      <c r="I12" s="13"/>
    </row>
    <row r="13" spans="1:10" ht="18.75" x14ac:dyDescent="0.3">
      <c r="A13" s="32"/>
      <c r="B13" s="52"/>
      <c r="C13" s="8"/>
      <c r="D13" s="57"/>
      <c r="E13" s="58"/>
      <c r="F13" s="30"/>
      <c r="G13" s="31"/>
      <c r="H13" s="8"/>
      <c r="I13" s="13"/>
    </row>
    <row r="14" spans="1:10" ht="18.75" x14ac:dyDescent="0.3">
      <c r="A14" s="6"/>
      <c r="B14" s="7"/>
      <c r="C14" s="8"/>
      <c r="D14" s="57"/>
      <c r="E14" s="48"/>
      <c r="F14" s="30"/>
      <c r="G14" s="31"/>
      <c r="H14" s="8"/>
      <c r="I14" s="13"/>
    </row>
    <row r="15" spans="1:10" ht="18.75" x14ac:dyDescent="0.3">
      <c r="A15" s="6"/>
      <c r="B15" s="7"/>
      <c r="C15" s="8"/>
      <c r="D15" s="57"/>
      <c r="E15" s="8"/>
      <c r="F15" s="59"/>
      <c r="G15" s="31"/>
      <c r="H15" s="31"/>
      <c r="I15" s="13"/>
      <c r="J15" s="54"/>
    </row>
    <row r="16" spans="1:10" ht="21" x14ac:dyDescent="0.45">
      <c r="A16" s="32"/>
      <c r="B16" s="7"/>
      <c r="C16" s="8"/>
      <c r="D16" s="10"/>
      <c r="E16" s="8"/>
      <c r="F16" s="30"/>
      <c r="G16" s="31"/>
      <c r="H16" s="31"/>
      <c r="I16" s="212"/>
      <c r="J16" s="42"/>
    </row>
    <row r="17" spans="1:12" ht="21" x14ac:dyDescent="0.45">
      <c r="A17" s="6"/>
      <c r="B17" s="7"/>
      <c r="C17" s="33"/>
      <c r="D17" s="34"/>
      <c r="E17" s="33"/>
      <c r="F17" s="30"/>
      <c r="G17" s="31"/>
      <c r="H17" s="31"/>
      <c r="I17" s="56"/>
      <c r="J17" s="42"/>
      <c r="K17" s="42"/>
      <c r="L17" s="42"/>
    </row>
    <row r="18" spans="1:12" ht="21" x14ac:dyDescent="0.45">
      <c r="A18" s="35"/>
      <c r="B18" s="36"/>
      <c r="C18" s="33"/>
      <c r="D18" s="34"/>
      <c r="E18" s="33"/>
      <c r="F18" s="30"/>
      <c r="G18" s="31"/>
      <c r="H18" s="31"/>
      <c r="I18" s="44"/>
      <c r="J18" s="13"/>
    </row>
    <row r="19" spans="1:12" ht="21" x14ac:dyDescent="0.45">
      <c r="A19" s="35"/>
      <c r="B19" s="36"/>
      <c r="C19" s="33"/>
      <c r="D19" s="34"/>
      <c r="E19" s="33"/>
      <c r="F19" s="37"/>
      <c r="G19" s="31"/>
      <c r="H19" s="31"/>
      <c r="I19" s="201"/>
      <c r="J19" s="200"/>
      <c r="K19" s="44"/>
      <c r="L19" s="44"/>
    </row>
    <row r="20" spans="1:12" ht="18.75" x14ac:dyDescent="0.3">
      <c r="A20" s="6"/>
      <c r="B20" s="7"/>
      <c r="C20" s="8"/>
      <c r="D20" s="10"/>
      <c r="E20" s="8"/>
      <c r="F20" s="30"/>
      <c r="G20" s="31"/>
      <c r="H20" s="31"/>
      <c r="I20" s="72"/>
      <c r="J20" s="13"/>
    </row>
    <row r="21" spans="1:12" ht="18.75" x14ac:dyDescent="0.3">
      <c r="A21" s="6"/>
      <c r="B21" s="7"/>
      <c r="C21" s="8"/>
      <c r="D21" s="10"/>
      <c r="E21" s="8"/>
      <c r="F21" s="30"/>
      <c r="G21" s="31"/>
      <c r="H21" s="31"/>
      <c r="I21" s="13"/>
      <c r="J21" s="13"/>
    </row>
    <row r="22" spans="1:12" ht="18.75" x14ac:dyDescent="0.3">
      <c r="A22" s="35"/>
      <c r="B22" s="36"/>
      <c r="C22" s="33"/>
      <c r="D22" s="34"/>
      <c r="E22" s="33"/>
      <c r="F22" s="33"/>
      <c r="G22" s="33"/>
      <c r="H22" s="33"/>
      <c r="I22" s="13"/>
      <c r="J22" s="13"/>
    </row>
    <row r="23" spans="1:12" ht="18.75" x14ac:dyDescent="0.3">
      <c r="A23" s="3"/>
      <c r="B23" s="29" t="s">
        <v>6</v>
      </c>
      <c r="C23" s="221">
        <f>SUM(C9:C22)</f>
        <v>119975437</v>
      </c>
      <c r="D23" s="207">
        <f>SUM(D9:D22)</f>
        <v>51620839.57</v>
      </c>
      <c r="E23" s="55">
        <f>SUM(E9:E22)</f>
        <v>27768583</v>
      </c>
      <c r="F23" s="38">
        <f>SUM(F9:F22)</f>
        <v>40586014.43</v>
      </c>
      <c r="G23" s="39">
        <f>D23*100/C23</f>
        <v>43.026173407478396</v>
      </c>
      <c r="H23" s="39"/>
      <c r="I23" s="54"/>
      <c r="J23" s="13"/>
    </row>
    <row r="24" spans="1:12" ht="18.75" x14ac:dyDescent="0.3">
      <c r="A24" s="5"/>
      <c r="B24" s="53"/>
      <c r="C24" s="67"/>
      <c r="D24" s="67"/>
      <c r="E24" s="68"/>
      <c r="F24" s="67"/>
      <c r="G24" s="69"/>
      <c r="H24" s="69"/>
      <c r="I24" s="54"/>
      <c r="J24" s="13"/>
    </row>
    <row r="25" spans="1:12" ht="21" x14ac:dyDescent="0.35">
      <c r="A25" s="5"/>
      <c r="B25" s="22" t="s">
        <v>21</v>
      </c>
      <c r="C25" s="67"/>
      <c r="D25" s="67"/>
      <c r="E25" s="68"/>
      <c r="F25" s="67"/>
      <c r="G25" s="69"/>
      <c r="H25" s="69"/>
      <c r="I25" s="54"/>
      <c r="J25" s="13"/>
    </row>
    <row r="26" spans="1:12" ht="23.25" x14ac:dyDescent="0.5">
      <c r="A26" s="21"/>
      <c r="B26" s="23" t="s">
        <v>732</v>
      </c>
      <c r="C26" s="23"/>
      <c r="D26" s="23" t="s">
        <v>720</v>
      </c>
      <c r="E26" s="22"/>
      <c r="F26" s="23" t="s">
        <v>22</v>
      </c>
      <c r="G26" s="22"/>
      <c r="H26" s="15"/>
      <c r="I26" s="54"/>
    </row>
    <row r="27" spans="1:12" ht="23.25" x14ac:dyDescent="0.5">
      <c r="A27" s="21"/>
      <c r="B27" s="22" t="s">
        <v>728</v>
      </c>
      <c r="C27" s="22"/>
      <c r="D27" s="22" t="s">
        <v>721</v>
      </c>
      <c r="E27" s="22"/>
      <c r="F27" s="22" t="s">
        <v>725</v>
      </c>
      <c r="G27" s="22"/>
      <c r="H27" s="14"/>
      <c r="I27" s="54"/>
      <c r="J27" s="25"/>
    </row>
    <row r="28" spans="1:12" ht="21" x14ac:dyDescent="0.35">
      <c r="A28" s="21"/>
      <c r="B28" s="22" t="s">
        <v>729</v>
      </c>
      <c r="C28" s="22"/>
      <c r="D28" s="22" t="s">
        <v>722</v>
      </c>
      <c r="E28" s="22"/>
      <c r="F28" s="22" t="s">
        <v>726</v>
      </c>
      <c r="G28" s="22"/>
    </row>
    <row r="29" spans="1:12" ht="21" x14ac:dyDescent="0.35">
      <c r="A29" s="21"/>
      <c r="B29" s="22" t="s">
        <v>730</v>
      </c>
      <c r="C29" s="22"/>
      <c r="D29" s="22" t="s">
        <v>723</v>
      </c>
      <c r="E29" s="22"/>
      <c r="F29" s="22" t="s">
        <v>727</v>
      </c>
      <c r="G29" s="22"/>
    </row>
    <row r="30" spans="1:12" ht="21" x14ac:dyDescent="0.35">
      <c r="A30" s="21"/>
      <c r="B30" s="22" t="s">
        <v>731</v>
      </c>
      <c r="C30" s="22"/>
      <c r="D30" s="22" t="s">
        <v>724</v>
      </c>
      <c r="E30" s="22"/>
      <c r="F30" s="22" t="s">
        <v>724</v>
      </c>
      <c r="G30" s="22"/>
    </row>
    <row r="31" spans="1:12" ht="23.25" x14ac:dyDescent="0.5">
      <c r="B31" s="14"/>
      <c r="C31" s="14"/>
      <c r="D31" s="14"/>
      <c r="E31" s="14"/>
      <c r="F31" s="14"/>
      <c r="G31" s="14"/>
    </row>
    <row r="32" spans="1:12" x14ac:dyDescent="0.2">
      <c r="B32" s="27"/>
      <c r="E32" s="49"/>
      <c r="F32" s="49"/>
    </row>
    <row r="33" spans="1:6" x14ac:dyDescent="0.2">
      <c r="B33" s="27"/>
      <c r="E33" s="42"/>
      <c r="F33" s="42"/>
    </row>
    <row r="34" spans="1:6" x14ac:dyDescent="0.2">
      <c r="B34" s="223"/>
      <c r="E34" s="42"/>
      <c r="F34" s="42"/>
    </row>
    <row r="35" spans="1:6" x14ac:dyDescent="0.2">
      <c r="B35" s="223"/>
      <c r="E35" s="42"/>
      <c r="F35" s="42"/>
    </row>
    <row r="36" spans="1:6" x14ac:dyDescent="0.2">
      <c r="E36" s="42"/>
      <c r="F36" s="42"/>
    </row>
    <row r="37" spans="1:6" x14ac:dyDescent="0.2">
      <c r="E37" s="42"/>
      <c r="F37" s="42"/>
    </row>
    <row r="38" spans="1:6" ht="21" x14ac:dyDescent="0.45">
      <c r="E38" s="42"/>
      <c r="F38" s="26"/>
    </row>
    <row r="39" spans="1:6" x14ac:dyDescent="0.2">
      <c r="E39" s="42"/>
      <c r="F39" s="42"/>
    </row>
    <row r="40" spans="1:6" ht="19.5" customHeight="1" x14ac:dyDescent="0.2">
      <c r="A40" s="11"/>
      <c r="B40" s="11"/>
      <c r="C40" s="11"/>
      <c r="E40" s="42"/>
    </row>
    <row r="41" spans="1:6" ht="26.25" x14ac:dyDescent="0.55000000000000004">
      <c r="A41" s="61"/>
      <c r="B41" s="62"/>
      <c r="C41" s="63"/>
      <c r="D41" s="12"/>
      <c r="E41" s="12"/>
      <c r="F41" s="12"/>
    </row>
    <row r="42" spans="1:6" ht="26.25" x14ac:dyDescent="0.55000000000000004">
      <c r="A42" s="61"/>
      <c r="B42" s="62"/>
      <c r="C42" s="63"/>
      <c r="D42" s="12"/>
      <c r="E42" s="12"/>
    </row>
    <row r="43" spans="1:6" ht="26.25" x14ac:dyDescent="0.55000000000000004">
      <c r="A43" s="61"/>
      <c r="B43" s="62"/>
      <c r="C43" s="63"/>
      <c r="D43" s="12"/>
      <c r="E43" s="12"/>
    </row>
    <row r="44" spans="1:6" ht="26.25" x14ac:dyDescent="0.55000000000000004">
      <c r="A44" s="61"/>
      <c r="B44" s="62"/>
      <c r="C44" s="63"/>
      <c r="D44" s="12"/>
      <c r="E44" s="12"/>
    </row>
    <row r="45" spans="1:6" ht="26.25" x14ac:dyDescent="0.55000000000000004">
      <c r="A45" s="61"/>
      <c r="B45" s="62"/>
      <c r="C45" s="63"/>
      <c r="D45" s="12"/>
      <c r="E45" s="12"/>
    </row>
    <row r="46" spans="1:6" ht="26.25" x14ac:dyDescent="0.55000000000000004">
      <c r="A46" s="61"/>
      <c r="B46" s="62"/>
      <c r="C46" s="63"/>
      <c r="D46" s="12"/>
      <c r="E46" s="12"/>
    </row>
    <row r="47" spans="1:6" ht="26.25" x14ac:dyDescent="0.55000000000000004">
      <c r="A47" s="61"/>
      <c r="B47" s="62"/>
      <c r="C47" s="63"/>
    </row>
    <row r="48" spans="1:6" ht="26.25" x14ac:dyDescent="0.55000000000000004">
      <c r="A48" s="61"/>
      <c r="B48" s="62"/>
      <c r="C48" s="63"/>
    </row>
    <row r="49" spans="1:6" ht="26.25" x14ac:dyDescent="0.55000000000000004">
      <c r="A49" s="61"/>
      <c r="B49" s="62"/>
      <c r="C49" s="64"/>
    </row>
    <row r="50" spans="1:6" ht="23.25" x14ac:dyDescent="0.5">
      <c r="A50" s="61"/>
      <c r="B50" s="45"/>
      <c r="C50" s="60"/>
      <c r="D50" s="12"/>
      <c r="E50" s="12"/>
      <c r="F50" s="12"/>
    </row>
    <row r="51" spans="1:6" ht="23.25" x14ac:dyDescent="0.5">
      <c r="A51" s="11"/>
      <c r="B51" s="45"/>
      <c r="C51" s="60"/>
      <c r="D51" s="12"/>
      <c r="E51" s="12"/>
    </row>
    <row r="52" spans="1:6" ht="23.25" x14ac:dyDescent="0.5">
      <c r="B52" s="45"/>
      <c r="C52" s="46"/>
      <c r="D52" s="12"/>
      <c r="E52" s="12"/>
    </row>
    <row r="53" spans="1:6" ht="23.25" x14ac:dyDescent="0.5">
      <c r="B53" s="12"/>
      <c r="C53" s="12"/>
      <c r="D53" s="12"/>
      <c r="E53" s="12"/>
    </row>
    <row r="54" spans="1:6" ht="23.25" x14ac:dyDescent="0.5">
      <c r="B54" s="12"/>
      <c r="C54" s="24"/>
      <c r="D54" s="12"/>
      <c r="E54" s="12"/>
    </row>
    <row r="55" spans="1:6" ht="23.25" x14ac:dyDescent="0.5">
      <c r="B55" s="12"/>
      <c r="C55" s="12"/>
      <c r="D55" s="12"/>
      <c r="E55" s="12"/>
    </row>
    <row r="56" spans="1:6" ht="23.25" x14ac:dyDescent="0.5">
      <c r="B56" s="12"/>
      <c r="C56" s="12"/>
      <c r="D56" s="12"/>
      <c r="E56" s="12"/>
    </row>
    <row r="57" spans="1:6" ht="23.25" x14ac:dyDescent="0.5">
      <c r="B57" s="12"/>
      <c r="C57" s="12"/>
      <c r="D57" s="12"/>
      <c r="E57" s="12"/>
    </row>
    <row r="58" spans="1:6" ht="23.25" x14ac:dyDescent="0.5">
      <c r="B58" s="12"/>
      <c r="C58" s="24"/>
      <c r="D58" s="12"/>
      <c r="E58" s="12"/>
    </row>
    <row r="59" spans="1:6" ht="23.25" x14ac:dyDescent="0.5">
      <c r="B59" s="12"/>
      <c r="C59" s="24"/>
      <c r="D59" s="12"/>
      <c r="E59" s="12"/>
    </row>
    <row r="60" spans="1:6" ht="23.25" x14ac:dyDescent="0.5">
      <c r="B60" s="12"/>
      <c r="C60" s="24"/>
      <c r="D60" s="12"/>
      <c r="E60" s="12"/>
    </row>
    <row r="61" spans="1:6" ht="23.25" x14ac:dyDescent="0.5">
      <c r="B61" s="12"/>
      <c r="C61" s="12"/>
      <c r="D61" s="12"/>
      <c r="E61" s="12"/>
    </row>
  </sheetData>
  <mergeCells count="3">
    <mergeCell ref="A3:G3"/>
    <mergeCell ref="A4:G4"/>
    <mergeCell ref="A5:G5"/>
  </mergeCells>
  <pageMargins left="0.53" right="0.15" top="0.44" bottom="1" header="0.27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K18" sqref="K18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1.140625" style="88" customWidth="1"/>
    <col min="6" max="6" width="8.14062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1553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199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765</v>
      </c>
      <c r="B7" s="100" t="s">
        <v>770</v>
      </c>
      <c r="C7" s="50" t="s">
        <v>771</v>
      </c>
      <c r="D7" s="103">
        <v>363900</v>
      </c>
      <c r="E7" s="103"/>
      <c r="F7" s="103"/>
      <c r="G7" s="226">
        <f>D7</f>
        <v>363900</v>
      </c>
      <c r="H7" s="85" t="s">
        <v>35</v>
      </c>
    </row>
    <row r="8" spans="1:12" x14ac:dyDescent="0.3">
      <c r="A8" s="192" t="s">
        <v>1062</v>
      </c>
      <c r="B8" s="100" t="s">
        <v>1095</v>
      </c>
      <c r="C8" s="50" t="s">
        <v>1096</v>
      </c>
      <c r="D8" s="103"/>
      <c r="E8" s="103">
        <v>85520</v>
      </c>
      <c r="F8" s="103"/>
      <c r="G8" s="147">
        <f>G7-E8</f>
        <v>278380</v>
      </c>
      <c r="H8" s="104"/>
    </row>
    <row r="9" spans="1:12" x14ac:dyDescent="0.3">
      <c r="A9" s="192" t="s">
        <v>1416</v>
      </c>
      <c r="B9" s="100" t="s">
        <v>1422</v>
      </c>
      <c r="C9" s="50" t="s">
        <v>1421</v>
      </c>
      <c r="D9" s="103"/>
      <c r="E9" s="103">
        <v>69575</v>
      </c>
      <c r="F9" s="103"/>
      <c r="G9" s="147">
        <f>G8-E9</f>
        <v>208805</v>
      </c>
      <c r="H9" s="104"/>
    </row>
    <row r="10" spans="1:12" x14ac:dyDescent="0.3">
      <c r="A10" s="192"/>
      <c r="B10" s="100"/>
      <c r="C10" s="50"/>
      <c r="D10" s="103"/>
      <c r="E10" s="103"/>
      <c r="F10" s="103"/>
      <c r="G10" s="102"/>
      <c r="H10" s="85"/>
      <c r="K10" s="151"/>
      <c r="L10" s="150"/>
    </row>
    <row r="11" spans="1:12" x14ac:dyDescent="0.3">
      <c r="A11" s="192" t="s">
        <v>867</v>
      </c>
      <c r="B11" s="107" t="s">
        <v>868</v>
      </c>
      <c r="C11" s="203" t="s">
        <v>869</v>
      </c>
      <c r="D11" s="108">
        <v>70000</v>
      </c>
      <c r="E11" s="190"/>
      <c r="F11" s="146"/>
      <c r="G11" s="147">
        <v>70000</v>
      </c>
      <c r="H11" s="204" t="s">
        <v>18</v>
      </c>
      <c r="K11" s="151"/>
      <c r="L11" s="150"/>
    </row>
    <row r="12" spans="1:12" x14ac:dyDescent="0.3">
      <c r="A12" s="192" t="s">
        <v>1401</v>
      </c>
      <c r="B12" s="107" t="s">
        <v>1402</v>
      </c>
      <c r="C12" s="86" t="s">
        <v>1326</v>
      </c>
      <c r="D12" s="108"/>
      <c r="E12" s="108">
        <v>63160</v>
      </c>
      <c r="F12" s="146"/>
      <c r="G12" s="147">
        <f>G11-E12</f>
        <v>6840</v>
      </c>
      <c r="H12" s="204"/>
      <c r="K12" s="151"/>
      <c r="L12" s="150"/>
    </row>
    <row r="13" spans="1:12" x14ac:dyDescent="0.3">
      <c r="A13" s="192" t="s">
        <v>1455</v>
      </c>
      <c r="B13" s="107" t="s">
        <v>1466</v>
      </c>
      <c r="C13" s="86" t="s">
        <v>560</v>
      </c>
      <c r="D13" s="108"/>
      <c r="E13" s="108">
        <v>1840</v>
      </c>
      <c r="F13" s="146"/>
      <c r="G13" s="147">
        <f>G12-E13</f>
        <v>5000</v>
      </c>
      <c r="H13" s="204"/>
      <c r="K13" s="151"/>
      <c r="L13" s="150"/>
    </row>
    <row r="14" spans="1:12" x14ac:dyDescent="0.3">
      <c r="A14" s="192"/>
      <c r="B14" s="107"/>
      <c r="C14" s="86"/>
      <c r="D14" s="108"/>
      <c r="E14" s="190"/>
      <c r="F14" s="146"/>
      <c r="G14" s="147"/>
      <c r="H14" s="204"/>
      <c r="K14" s="151"/>
      <c r="L14" s="150"/>
    </row>
    <row r="15" spans="1:12" x14ac:dyDescent="0.3">
      <c r="A15" s="192" t="s">
        <v>1329</v>
      </c>
      <c r="B15" s="107" t="s">
        <v>1330</v>
      </c>
      <c r="C15" s="86" t="s">
        <v>1331</v>
      </c>
      <c r="D15" s="108">
        <v>80000</v>
      </c>
      <c r="E15" s="190"/>
      <c r="F15" s="146"/>
      <c r="G15" s="147">
        <f>D15</f>
        <v>80000</v>
      </c>
      <c r="H15" s="204" t="s">
        <v>271</v>
      </c>
      <c r="K15" s="151"/>
      <c r="L15" s="150"/>
    </row>
    <row r="16" spans="1:12" x14ac:dyDescent="0.3">
      <c r="A16" s="192"/>
      <c r="B16" s="107"/>
      <c r="C16" s="86" t="s">
        <v>1332</v>
      </c>
      <c r="D16" s="108">
        <v>15000</v>
      </c>
      <c r="E16" s="190"/>
      <c r="F16" s="101"/>
      <c r="G16" s="147">
        <f>G15+D16</f>
        <v>95000</v>
      </c>
      <c r="H16" s="204"/>
      <c r="K16" s="151"/>
      <c r="L16" s="150"/>
    </row>
    <row r="17" spans="1:15" x14ac:dyDescent="0.3">
      <c r="A17" s="192"/>
      <c r="B17" s="107"/>
      <c r="C17" s="203"/>
      <c r="D17" s="108"/>
      <c r="E17" s="190"/>
      <c r="F17" s="146"/>
      <c r="G17" s="147"/>
      <c r="H17" s="204"/>
      <c r="K17" s="151"/>
      <c r="L17" s="150"/>
    </row>
    <row r="18" spans="1:15" x14ac:dyDescent="0.3">
      <c r="A18" s="192" t="s">
        <v>1338</v>
      </c>
      <c r="B18" s="107" t="s">
        <v>1341</v>
      </c>
      <c r="C18" s="203" t="s">
        <v>1354</v>
      </c>
      <c r="D18" s="108">
        <v>3000</v>
      </c>
      <c r="E18" s="190"/>
      <c r="F18" s="146"/>
      <c r="G18" s="147">
        <v>3000</v>
      </c>
      <c r="H18" s="204" t="s">
        <v>271</v>
      </c>
      <c r="K18" s="151"/>
      <c r="L18" s="150"/>
    </row>
    <row r="19" spans="1:15" x14ac:dyDescent="0.3">
      <c r="A19" s="192"/>
      <c r="B19" s="107"/>
      <c r="C19" s="203"/>
      <c r="D19" s="108"/>
      <c r="E19" s="190"/>
      <c r="F19" s="146"/>
      <c r="G19" s="147"/>
      <c r="H19" s="204"/>
      <c r="K19" s="151"/>
      <c r="L19" s="150"/>
    </row>
    <row r="20" spans="1:15" x14ac:dyDescent="0.3">
      <c r="A20" s="192"/>
      <c r="B20" s="107"/>
      <c r="C20" s="202"/>
      <c r="D20" s="146"/>
      <c r="E20" s="101"/>
      <c r="F20" s="101"/>
      <c r="G20" s="147"/>
      <c r="H20" s="162"/>
      <c r="K20" s="151"/>
      <c r="L20" s="150"/>
    </row>
    <row r="21" spans="1:15" ht="18" thickBot="1" x14ac:dyDescent="0.35">
      <c r="A21" s="118"/>
      <c r="B21" s="155"/>
      <c r="C21" s="143" t="s">
        <v>102</v>
      </c>
      <c r="D21" s="182">
        <f>SUM(D7:D20)</f>
        <v>531900</v>
      </c>
      <c r="E21" s="182">
        <f>SUM(E7:E20)</f>
        <v>220095</v>
      </c>
      <c r="F21" s="182">
        <f>SUM(F7:F20)</f>
        <v>0</v>
      </c>
      <c r="G21" s="173">
        <f>D21-E21-F21</f>
        <v>311805</v>
      </c>
      <c r="H21" s="104"/>
      <c r="K21" s="151"/>
      <c r="L21" s="150"/>
    </row>
    <row r="22" spans="1:15" ht="18" thickTop="1" x14ac:dyDescent="0.3">
      <c r="D22" s="149"/>
      <c r="F22" s="189"/>
      <c r="G22" s="214"/>
      <c r="J22" s="167"/>
      <c r="K22" s="151"/>
      <c r="L22" s="150"/>
    </row>
    <row r="23" spans="1:15" x14ac:dyDescent="0.3">
      <c r="D23" s="149"/>
      <c r="E23" s="144"/>
      <c r="F23" s="176"/>
      <c r="G23" s="144"/>
      <c r="J23" s="167"/>
    </row>
    <row r="24" spans="1:15" x14ac:dyDescent="0.3">
      <c r="D24" s="149"/>
      <c r="E24" s="144"/>
      <c r="G24" s="144"/>
      <c r="J24" s="144"/>
      <c r="M24" s="144"/>
    </row>
    <row r="25" spans="1:15" x14ac:dyDescent="0.3">
      <c r="C25" s="176"/>
      <c r="E25" s="144"/>
      <c r="G25" s="176"/>
      <c r="M25" s="144"/>
    </row>
    <row r="26" spans="1:15" x14ac:dyDescent="0.3">
      <c r="C26" s="176"/>
      <c r="E26" s="176"/>
      <c r="G26" s="176"/>
      <c r="M26" s="176"/>
      <c r="O26" s="176"/>
    </row>
    <row r="27" spans="1:15" x14ac:dyDescent="0.3">
      <c r="E27" s="151"/>
      <c r="F27" s="144"/>
      <c r="G27" s="176"/>
      <c r="M27" s="144"/>
      <c r="N27" s="144"/>
      <c r="O27" s="176"/>
    </row>
    <row r="28" spans="1:15" x14ac:dyDescent="0.3">
      <c r="B28" s="150"/>
      <c r="C28" s="158"/>
      <c r="D28" s="183"/>
      <c r="E28" s="184"/>
      <c r="G28" s="185"/>
      <c r="O28" s="185"/>
    </row>
    <row r="29" spans="1:15" x14ac:dyDescent="0.3">
      <c r="B29" s="150"/>
      <c r="C29" s="150"/>
      <c r="D29" s="152"/>
      <c r="E29" s="151"/>
    </row>
    <row r="30" spans="1:15" x14ac:dyDescent="0.3">
      <c r="B30" s="150"/>
      <c r="C30" s="150"/>
      <c r="D30" s="152"/>
      <c r="E30" s="151"/>
      <c r="G30" s="144"/>
      <c r="O30" s="144"/>
    </row>
    <row r="31" spans="1:15" x14ac:dyDescent="0.3">
      <c r="B31" s="150"/>
      <c r="C31" s="150"/>
      <c r="D31" s="152"/>
      <c r="E31" s="151"/>
      <c r="G31" s="144"/>
    </row>
    <row r="32" spans="1:15" x14ac:dyDescent="0.3">
      <c r="B32" s="150"/>
      <c r="C32" s="150"/>
      <c r="D32" s="186"/>
      <c r="E32" s="158"/>
    </row>
    <row r="33" spans="2:5" x14ac:dyDescent="0.3">
      <c r="B33" s="150"/>
      <c r="C33" s="150"/>
      <c r="D33" s="150"/>
      <c r="E33" s="151"/>
    </row>
    <row r="34" spans="2:5" x14ac:dyDescent="0.3">
      <c r="B34" s="150"/>
      <c r="C34" s="150"/>
      <c r="D34" s="150"/>
      <c r="E34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A3" sqref="A3:H3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4.28515625" style="88" customWidth="1"/>
    <col min="4" max="4" width="10.7109375" style="88" customWidth="1"/>
    <col min="5" max="5" width="11.140625" style="88" customWidth="1"/>
    <col min="6" max="6" width="8" style="88" customWidth="1"/>
    <col min="7" max="7" width="11.85546875" style="88" customWidth="1"/>
    <col min="8" max="8" width="8.855468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1553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293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294</v>
      </c>
      <c r="B7" s="100" t="s">
        <v>295</v>
      </c>
      <c r="C7" s="50" t="s">
        <v>296</v>
      </c>
      <c r="D7" s="103">
        <v>3500</v>
      </c>
      <c r="E7" s="103"/>
      <c r="F7" s="103"/>
      <c r="G7" s="226">
        <f>D7</f>
        <v>3500</v>
      </c>
      <c r="H7" s="85" t="s">
        <v>297</v>
      </c>
    </row>
    <row r="8" spans="1:12" x14ac:dyDescent="0.3">
      <c r="A8" s="192" t="s">
        <v>622</v>
      </c>
      <c r="B8" s="100" t="s">
        <v>624</v>
      </c>
      <c r="C8" s="50" t="s">
        <v>623</v>
      </c>
      <c r="D8" s="103"/>
      <c r="E8" s="103">
        <v>2576</v>
      </c>
      <c r="F8" s="103"/>
      <c r="G8" s="102">
        <f>G7-E8</f>
        <v>924</v>
      </c>
      <c r="H8" s="104"/>
    </row>
    <row r="9" spans="1:12" x14ac:dyDescent="0.3">
      <c r="A9" s="192"/>
      <c r="B9" s="100"/>
      <c r="C9" s="50"/>
      <c r="D9" s="103"/>
      <c r="E9" s="103"/>
      <c r="F9" s="103"/>
      <c r="G9" s="102"/>
      <c r="H9" s="104"/>
    </row>
    <row r="10" spans="1:12" x14ac:dyDescent="0.3">
      <c r="A10" s="192" t="s">
        <v>375</v>
      </c>
      <c r="B10" s="100" t="s">
        <v>376</v>
      </c>
      <c r="C10" s="50" t="s">
        <v>377</v>
      </c>
      <c r="D10" s="103">
        <v>57900</v>
      </c>
      <c r="E10" s="103"/>
      <c r="F10" s="103"/>
      <c r="G10" s="226">
        <v>57900</v>
      </c>
      <c r="H10" s="85"/>
      <c r="K10" s="151"/>
      <c r="L10" s="150"/>
    </row>
    <row r="11" spans="1:12" x14ac:dyDescent="0.3">
      <c r="A11" s="192" t="s">
        <v>359</v>
      </c>
      <c r="B11" s="100" t="s">
        <v>361</v>
      </c>
      <c r="C11" s="50" t="s">
        <v>364</v>
      </c>
      <c r="D11" s="103"/>
      <c r="E11" s="103">
        <v>2300</v>
      </c>
      <c r="F11" s="146"/>
      <c r="G11" s="147">
        <f>G10-E11</f>
        <v>55600</v>
      </c>
      <c r="H11" s="204"/>
      <c r="K11" s="151"/>
      <c r="L11" s="150"/>
    </row>
    <row r="12" spans="1:12" x14ac:dyDescent="0.3">
      <c r="A12" s="192"/>
      <c r="B12" s="100" t="s">
        <v>362</v>
      </c>
      <c r="C12" s="50" t="s">
        <v>365</v>
      </c>
      <c r="D12" s="103"/>
      <c r="E12" s="103">
        <v>26000</v>
      </c>
      <c r="F12" s="146"/>
      <c r="G12" s="147">
        <f>G11-E12</f>
        <v>29600</v>
      </c>
      <c r="H12" s="204"/>
      <c r="K12" s="151"/>
      <c r="L12" s="150"/>
    </row>
    <row r="13" spans="1:12" x14ac:dyDescent="0.3">
      <c r="A13" s="192"/>
      <c r="B13" s="100" t="s">
        <v>363</v>
      </c>
      <c r="C13" s="50" t="s">
        <v>366</v>
      </c>
      <c r="D13" s="103"/>
      <c r="E13" s="103">
        <v>600</v>
      </c>
      <c r="F13" s="146"/>
      <c r="G13" s="147">
        <f>G12-E13</f>
        <v>29000</v>
      </c>
      <c r="H13" s="204"/>
      <c r="K13" s="151"/>
      <c r="L13" s="150"/>
    </row>
    <row r="14" spans="1:12" x14ac:dyDescent="0.3">
      <c r="A14" s="192" t="s">
        <v>598</v>
      </c>
      <c r="B14" s="107" t="s">
        <v>603</v>
      </c>
      <c r="C14" s="86" t="s">
        <v>377</v>
      </c>
      <c r="D14" s="108"/>
      <c r="E14" s="108">
        <v>29000</v>
      </c>
      <c r="F14" s="146"/>
      <c r="G14" s="266">
        <v>0</v>
      </c>
      <c r="H14" s="204"/>
      <c r="K14" s="151"/>
      <c r="L14" s="150"/>
    </row>
    <row r="15" spans="1:12" x14ac:dyDescent="0.3">
      <c r="A15" s="192"/>
      <c r="B15" s="107"/>
      <c r="C15" s="203"/>
      <c r="D15" s="108"/>
      <c r="E15" s="190"/>
      <c r="F15" s="146"/>
      <c r="G15" s="147"/>
      <c r="H15" s="204"/>
      <c r="K15" s="151"/>
      <c r="L15" s="150"/>
    </row>
    <row r="16" spans="1:12" x14ac:dyDescent="0.3">
      <c r="A16" s="192" t="s">
        <v>784</v>
      </c>
      <c r="B16" s="107" t="s">
        <v>787</v>
      </c>
      <c r="C16" s="203" t="s">
        <v>786</v>
      </c>
      <c r="D16" s="108">
        <v>3500</v>
      </c>
      <c r="E16" s="108"/>
      <c r="F16" s="101"/>
      <c r="G16" s="147">
        <v>3500</v>
      </c>
      <c r="H16" s="204" t="s">
        <v>18</v>
      </c>
      <c r="K16" s="151"/>
      <c r="L16" s="150"/>
    </row>
    <row r="17" spans="1:15" x14ac:dyDescent="0.3">
      <c r="A17" s="192" t="s">
        <v>969</v>
      </c>
      <c r="B17" s="107" t="s">
        <v>974</v>
      </c>
      <c r="C17" s="203" t="s">
        <v>975</v>
      </c>
      <c r="D17" s="108"/>
      <c r="E17" s="108">
        <v>2240</v>
      </c>
      <c r="F17" s="146"/>
      <c r="G17" s="147">
        <f>G16-E17</f>
        <v>1260</v>
      </c>
      <c r="H17" s="204"/>
      <c r="K17" s="151"/>
      <c r="L17" s="150"/>
    </row>
    <row r="18" spans="1:15" x14ac:dyDescent="0.3">
      <c r="A18" s="192"/>
      <c r="B18" s="107"/>
      <c r="C18" s="203"/>
      <c r="D18" s="108"/>
      <c r="E18" s="190"/>
      <c r="F18" s="146"/>
      <c r="G18" s="147"/>
      <c r="H18" s="204"/>
      <c r="K18" s="151"/>
      <c r="L18" s="150"/>
    </row>
    <row r="19" spans="1:15" x14ac:dyDescent="0.3">
      <c r="A19" s="192"/>
      <c r="B19" s="107"/>
      <c r="C19" s="203"/>
      <c r="D19" s="108"/>
      <c r="E19" s="190"/>
      <c r="F19" s="146"/>
      <c r="G19" s="147"/>
      <c r="H19" s="204"/>
      <c r="K19" s="151"/>
      <c r="L19" s="150"/>
    </row>
    <row r="20" spans="1:15" x14ac:dyDescent="0.3">
      <c r="A20" s="192"/>
      <c r="B20" s="107"/>
      <c r="C20" s="202"/>
      <c r="D20" s="146"/>
      <c r="E20" s="101"/>
      <c r="F20" s="101"/>
      <c r="G20" s="147"/>
      <c r="H20" s="162"/>
      <c r="K20" s="151"/>
      <c r="L20" s="150"/>
    </row>
    <row r="21" spans="1:15" ht="18" thickBot="1" x14ac:dyDescent="0.35">
      <c r="A21" s="118"/>
      <c r="B21" s="155"/>
      <c r="C21" s="143" t="s">
        <v>102</v>
      </c>
      <c r="D21" s="182">
        <f>SUM(D7:D20)</f>
        <v>64900</v>
      </c>
      <c r="E21" s="182">
        <f>SUM(E7:E20)</f>
        <v>62716</v>
      </c>
      <c r="F21" s="182">
        <f>SUM(F7:F20)</f>
        <v>0</v>
      </c>
      <c r="G21" s="173">
        <f>D21-E21-F21</f>
        <v>2184</v>
      </c>
      <c r="H21" s="104"/>
      <c r="K21" s="151"/>
      <c r="L21" s="150"/>
    </row>
    <row r="22" spans="1:15" ht="18" thickTop="1" x14ac:dyDescent="0.3">
      <c r="D22" s="149"/>
      <c r="F22" s="189"/>
      <c r="G22" s="214"/>
      <c r="J22" s="167"/>
      <c r="K22" s="151"/>
      <c r="L22" s="150"/>
    </row>
    <row r="23" spans="1:15" x14ac:dyDescent="0.3">
      <c r="D23" s="149"/>
      <c r="E23" s="144"/>
      <c r="F23" s="176"/>
      <c r="G23" s="144"/>
      <c r="J23" s="167"/>
    </row>
    <row r="24" spans="1:15" x14ac:dyDescent="0.3">
      <c r="D24" s="149"/>
      <c r="E24" s="144"/>
      <c r="G24" s="144"/>
      <c r="J24" s="144"/>
      <c r="M24" s="144"/>
    </row>
    <row r="25" spans="1:15" x14ac:dyDescent="0.3">
      <c r="C25" s="176"/>
      <c r="E25" s="144"/>
      <c r="G25" s="176"/>
      <c r="M25" s="144"/>
    </row>
    <row r="26" spans="1:15" x14ac:dyDescent="0.3">
      <c r="C26" s="176"/>
      <c r="E26" s="176"/>
      <c r="G26" s="176"/>
      <c r="M26" s="176"/>
      <c r="O26" s="176"/>
    </row>
    <row r="27" spans="1:15" x14ac:dyDescent="0.3">
      <c r="E27" s="151"/>
      <c r="F27" s="144"/>
      <c r="G27" s="176"/>
      <c r="M27" s="144"/>
      <c r="N27" s="144"/>
      <c r="O27" s="176"/>
    </row>
    <row r="28" spans="1:15" x14ac:dyDescent="0.3">
      <c r="B28" s="150"/>
      <c r="C28" s="158"/>
      <c r="D28" s="183"/>
      <c r="E28" s="184"/>
      <c r="G28" s="185"/>
      <c r="O28" s="185"/>
    </row>
    <row r="29" spans="1:15" x14ac:dyDescent="0.3">
      <c r="B29" s="150"/>
      <c r="C29" s="150"/>
      <c r="D29" s="152"/>
      <c r="E29" s="151"/>
    </row>
    <row r="30" spans="1:15" x14ac:dyDescent="0.3">
      <c r="B30" s="150"/>
      <c r="C30" s="150"/>
      <c r="D30" s="152"/>
      <c r="E30" s="151"/>
      <c r="G30" s="144"/>
      <c r="O30" s="144"/>
    </row>
    <row r="31" spans="1:15" x14ac:dyDescent="0.3">
      <c r="B31" s="150"/>
      <c r="C31" s="150"/>
      <c r="D31" s="152"/>
      <c r="E31" s="151"/>
      <c r="G31" s="144"/>
    </row>
    <row r="32" spans="1:15" x14ac:dyDescent="0.3">
      <c r="B32" s="150"/>
      <c r="C32" s="150"/>
      <c r="D32" s="186"/>
      <c r="E32" s="158"/>
    </row>
    <row r="33" spans="2:5" x14ac:dyDescent="0.3">
      <c r="B33" s="150"/>
      <c r="C33" s="150"/>
      <c r="D33" s="150"/>
      <c r="E33" s="151"/>
    </row>
    <row r="34" spans="2:5" x14ac:dyDescent="0.3">
      <c r="B34" s="150"/>
      <c r="C34" s="150"/>
      <c r="D34" s="150"/>
      <c r="E34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J28" sqref="J28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1.140625" style="88" customWidth="1"/>
    <col min="6" max="6" width="8.140625" style="88" customWidth="1"/>
    <col min="7" max="7" width="11.85546875" style="88" customWidth="1"/>
    <col min="8" max="8" width="9.7109375" style="88" customWidth="1"/>
    <col min="9" max="9" width="11.28515625" style="88" customWidth="1"/>
    <col min="10" max="10" width="11" style="88" customWidth="1"/>
    <col min="11" max="16384" width="9.140625" style="88"/>
  </cols>
  <sheetData>
    <row r="2" spans="1:8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8" x14ac:dyDescent="0.3">
      <c r="A3" s="335" t="s">
        <v>1553</v>
      </c>
      <c r="B3" s="335"/>
      <c r="C3" s="335"/>
      <c r="D3" s="335"/>
      <c r="E3" s="335"/>
      <c r="F3" s="335"/>
      <c r="G3" s="335"/>
      <c r="H3" s="335"/>
    </row>
    <row r="4" spans="1:8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594</v>
      </c>
    </row>
    <row r="5" spans="1:8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8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8" x14ac:dyDescent="0.3">
      <c r="A7" s="192" t="s">
        <v>582</v>
      </c>
      <c r="B7" s="107" t="s">
        <v>585</v>
      </c>
      <c r="C7" s="203" t="s">
        <v>586</v>
      </c>
      <c r="D7" s="108">
        <v>8200</v>
      </c>
      <c r="E7" s="190"/>
      <c r="F7" s="146"/>
      <c r="G7" s="147">
        <v>8200</v>
      </c>
      <c r="H7" s="204" t="s">
        <v>587</v>
      </c>
    </row>
    <row r="8" spans="1:8" x14ac:dyDescent="0.3">
      <c r="A8" s="192"/>
      <c r="B8" s="107" t="s">
        <v>596</v>
      </c>
      <c r="C8" s="203" t="s">
        <v>597</v>
      </c>
      <c r="D8" s="108"/>
      <c r="E8" s="108">
        <v>3544</v>
      </c>
      <c r="F8" s="101"/>
      <c r="G8" s="147">
        <f>G7-E8</f>
        <v>4656</v>
      </c>
      <c r="H8" s="204"/>
    </row>
    <row r="9" spans="1:8" x14ac:dyDescent="0.3">
      <c r="A9" s="192"/>
      <c r="B9" s="100"/>
      <c r="C9" s="50"/>
      <c r="D9" s="103"/>
      <c r="E9" s="103"/>
      <c r="F9" s="103"/>
      <c r="G9" s="102"/>
      <c r="H9" s="104"/>
    </row>
    <row r="10" spans="1:8" x14ac:dyDescent="0.3">
      <c r="A10" s="192"/>
      <c r="B10" s="100"/>
      <c r="C10" s="50"/>
      <c r="D10" s="103"/>
      <c r="E10" s="103"/>
      <c r="F10" s="103"/>
      <c r="G10" s="226"/>
      <c r="H10" s="85"/>
    </row>
    <row r="11" spans="1:8" x14ac:dyDescent="0.3">
      <c r="A11" s="192"/>
      <c r="B11" s="100"/>
      <c r="C11" s="50"/>
      <c r="D11" s="103"/>
      <c r="E11" s="103"/>
      <c r="F11" s="146"/>
      <c r="G11" s="147"/>
      <c r="H11" s="204"/>
    </row>
    <row r="12" spans="1:8" x14ac:dyDescent="0.3">
      <c r="A12" s="192"/>
      <c r="B12" s="100"/>
      <c r="C12" s="50"/>
      <c r="D12" s="103"/>
      <c r="E12" s="103"/>
      <c r="F12" s="146"/>
      <c r="G12" s="147"/>
      <c r="H12" s="204"/>
    </row>
    <row r="13" spans="1:8" x14ac:dyDescent="0.3">
      <c r="A13" s="192"/>
      <c r="B13" s="100"/>
      <c r="C13" s="50"/>
      <c r="D13" s="103"/>
      <c r="E13" s="103"/>
      <c r="F13" s="146"/>
      <c r="G13" s="147"/>
      <c r="H13" s="204"/>
    </row>
    <row r="14" spans="1:8" x14ac:dyDescent="0.3">
      <c r="A14" s="192"/>
      <c r="B14" s="107"/>
      <c r="C14" s="86"/>
      <c r="D14" s="108"/>
      <c r="E14" s="190"/>
      <c r="F14" s="146"/>
      <c r="G14" s="147"/>
      <c r="H14" s="204"/>
    </row>
    <row r="15" spans="1:8" x14ac:dyDescent="0.3">
      <c r="A15" s="192"/>
      <c r="B15" s="107"/>
      <c r="C15" s="203"/>
      <c r="D15" s="108"/>
      <c r="E15" s="190"/>
      <c r="F15" s="146"/>
      <c r="G15" s="147"/>
      <c r="H15" s="204"/>
    </row>
    <row r="16" spans="1:8" x14ac:dyDescent="0.3">
      <c r="A16" s="192"/>
      <c r="B16" s="107"/>
      <c r="C16" s="203"/>
      <c r="D16" s="108"/>
      <c r="E16" s="190"/>
      <c r="F16" s="101"/>
      <c r="G16" s="147"/>
      <c r="H16" s="204"/>
    </row>
    <row r="17" spans="1:11" x14ac:dyDescent="0.3">
      <c r="A17" s="192"/>
      <c r="B17" s="107"/>
      <c r="C17" s="203"/>
      <c r="D17" s="108"/>
      <c r="E17" s="190"/>
      <c r="F17" s="146"/>
      <c r="G17" s="147"/>
      <c r="H17" s="204"/>
    </row>
    <row r="18" spans="1:11" x14ac:dyDescent="0.3">
      <c r="A18" s="192"/>
      <c r="B18" s="107"/>
      <c r="C18" s="203"/>
      <c r="D18" s="108"/>
      <c r="E18" s="190"/>
      <c r="F18" s="146"/>
      <c r="G18" s="147"/>
      <c r="H18" s="204"/>
    </row>
    <row r="19" spans="1:11" x14ac:dyDescent="0.3">
      <c r="A19" s="192"/>
      <c r="B19" s="107"/>
      <c r="C19" s="203"/>
      <c r="D19" s="108"/>
      <c r="E19" s="190"/>
      <c r="F19" s="146"/>
      <c r="G19" s="147"/>
      <c r="H19" s="204"/>
    </row>
    <row r="20" spans="1:11" x14ac:dyDescent="0.3">
      <c r="A20" s="192"/>
      <c r="B20" s="107"/>
      <c r="C20" s="202"/>
      <c r="D20" s="146"/>
      <c r="E20" s="101"/>
      <c r="F20" s="101"/>
      <c r="G20" s="147"/>
      <c r="H20" s="162"/>
    </row>
    <row r="21" spans="1:11" ht="18" thickBot="1" x14ac:dyDescent="0.35">
      <c r="A21" s="118"/>
      <c r="B21" s="155"/>
      <c r="C21" s="143" t="s">
        <v>102</v>
      </c>
      <c r="D21" s="182">
        <f>SUM(D7:D20)</f>
        <v>8200</v>
      </c>
      <c r="E21" s="182">
        <f>SUM(E7:E20)</f>
        <v>3544</v>
      </c>
      <c r="F21" s="182">
        <f>SUM(F7:F20)</f>
        <v>0</v>
      </c>
      <c r="G21" s="173">
        <f>D21-E21-F21</f>
        <v>4656</v>
      </c>
      <c r="H21" s="104"/>
    </row>
    <row r="22" spans="1:11" ht="18" thickTop="1" x14ac:dyDescent="0.3">
      <c r="D22" s="149"/>
      <c r="F22" s="189"/>
      <c r="G22" s="214"/>
    </row>
    <row r="23" spans="1:11" x14ac:dyDescent="0.3">
      <c r="D23" s="149"/>
      <c r="E23" s="144"/>
      <c r="F23" s="176"/>
      <c r="G23" s="144"/>
    </row>
    <row r="24" spans="1:11" x14ac:dyDescent="0.3">
      <c r="D24" s="149"/>
      <c r="E24" s="144"/>
      <c r="G24" s="144"/>
      <c r="I24" s="144"/>
    </row>
    <row r="25" spans="1:11" x14ac:dyDescent="0.3">
      <c r="C25" s="176"/>
      <c r="E25" s="144"/>
      <c r="G25" s="176"/>
      <c r="I25" s="144"/>
    </row>
    <row r="26" spans="1:11" x14ac:dyDescent="0.3">
      <c r="C26" s="176"/>
      <c r="E26" s="176"/>
      <c r="G26" s="176"/>
      <c r="I26" s="176"/>
      <c r="K26" s="176"/>
    </row>
    <row r="27" spans="1:11" x14ac:dyDescent="0.3">
      <c r="E27" s="151"/>
      <c r="F27" s="144"/>
      <c r="G27" s="176"/>
      <c r="I27" s="144"/>
      <c r="J27" s="144"/>
      <c r="K27" s="176"/>
    </row>
    <row r="28" spans="1:11" x14ac:dyDescent="0.3">
      <c r="B28" s="150"/>
      <c r="C28" s="158"/>
      <c r="D28" s="183"/>
      <c r="E28" s="184"/>
      <c r="G28" s="185"/>
      <c r="K28" s="185"/>
    </row>
    <row r="29" spans="1:11" x14ac:dyDescent="0.3">
      <c r="B29" s="150"/>
      <c r="C29" s="150"/>
      <c r="D29" s="152"/>
      <c r="E29" s="151"/>
    </row>
    <row r="30" spans="1:11" x14ac:dyDescent="0.3">
      <c r="B30" s="150"/>
      <c r="C30" s="150"/>
      <c r="D30" s="152"/>
      <c r="E30" s="151"/>
      <c r="G30" s="144"/>
      <c r="K30" s="144"/>
    </row>
    <row r="31" spans="1:11" x14ac:dyDescent="0.3">
      <c r="B31" s="150"/>
      <c r="C31" s="150"/>
      <c r="D31" s="152"/>
      <c r="E31" s="151"/>
      <c r="G31" s="144"/>
    </row>
    <row r="32" spans="1:11" x14ac:dyDescent="0.3">
      <c r="B32" s="150"/>
      <c r="C32" s="150"/>
      <c r="D32" s="186"/>
      <c r="E32" s="158"/>
    </row>
    <row r="33" spans="2:5" x14ac:dyDescent="0.3">
      <c r="B33" s="150"/>
      <c r="C33" s="150"/>
      <c r="D33" s="150"/>
      <c r="E33" s="151"/>
    </row>
    <row r="34" spans="2:5" x14ac:dyDescent="0.3">
      <c r="B34" s="150"/>
      <c r="C34" s="150"/>
      <c r="D34" s="150"/>
      <c r="E34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opLeftCell="A10" workbookViewId="0">
      <selection activeCell="E24" sqref="E24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1.140625" style="88" customWidth="1"/>
    <col min="6" max="6" width="8.140625" style="88" customWidth="1"/>
    <col min="7" max="7" width="10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1345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788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582</v>
      </c>
      <c r="B7" s="107" t="s">
        <v>790</v>
      </c>
      <c r="C7" s="203" t="s">
        <v>789</v>
      </c>
      <c r="D7" s="108">
        <v>12000</v>
      </c>
      <c r="E7" s="190"/>
      <c r="F7" s="146"/>
      <c r="G7" s="147">
        <v>12000</v>
      </c>
      <c r="H7" s="204" t="s">
        <v>302</v>
      </c>
    </row>
    <row r="8" spans="1:12" x14ac:dyDescent="0.3">
      <c r="A8" s="192" t="s">
        <v>818</v>
      </c>
      <c r="B8" s="107" t="s">
        <v>820</v>
      </c>
      <c r="C8" s="203" t="s">
        <v>819</v>
      </c>
      <c r="D8" s="108"/>
      <c r="E8" s="108">
        <v>9440</v>
      </c>
      <c r="F8" s="101"/>
      <c r="G8" s="147">
        <f>G7-E8</f>
        <v>2560</v>
      </c>
      <c r="H8" s="204"/>
    </row>
    <row r="9" spans="1:12" x14ac:dyDescent="0.3">
      <c r="A9" s="192"/>
      <c r="B9" s="100"/>
      <c r="C9" s="50"/>
      <c r="D9" s="103"/>
      <c r="E9" s="103"/>
      <c r="F9" s="103"/>
      <c r="G9" s="102"/>
      <c r="H9" s="104"/>
    </row>
    <row r="10" spans="1:12" x14ac:dyDescent="0.3">
      <c r="A10" s="192" t="s">
        <v>1115</v>
      </c>
      <c r="B10" s="100" t="s">
        <v>1116</v>
      </c>
      <c r="C10" s="50" t="s">
        <v>1117</v>
      </c>
      <c r="D10" s="103">
        <v>275000</v>
      </c>
      <c r="E10" s="103"/>
      <c r="F10" s="103"/>
      <c r="G10" s="226">
        <v>275000</v>
      </c>
      <c r="H10" s="85" t="s">
        <v>1118</v>
      </c>
      <c r="K10" s="151"/>
      <c r="L10" s="150"/>
    </row>
    <row r="11" spans="1:12" x14ac:dyDescent="0.3">
      <c r="A11" s="192" t="s">
        <v>1360</v>
      </c>
      <c r="B11" s="100" t="s">
        <v>1368</v>
      </c>
      <c r="C11" s="50" t="s">
        <v>680</v>
      </c>
      <c r="D11" s="103"/>
      <c r="E11" s="103">
        <v>341</v>
      </c>
      <c r="F11" s="146"/>
      <c r="G11" s="147">
        <f t="shared" ref="G11:G16" si="0">G10-E11-F11</f>
        <v>274659</v>
      </c>
      <c r="H11" s="204"/>
      <c r="K11" s="151"/>
      <c r="L11" s="150"/>
    </row>
    <row r="12" spans="1:12" x14ac:dyDescent="0.3">
      <c r="A12" s="192"/>
      <c r="B12" s="100"/>
      <c r="C12" s="50" t="s">
        <v>1328</v>
      </c>
      <c r="D12" s="103"/>
      <c r="E12" s="103"/>
      <c r="F12" s="146">
        <v>1793</v>
      </c>
      <c r="G12" s="147">
        <f t="shared" si="0"/>
        <v>272866</v>
      </c>
      <c r="H12" s="204"/>
      <c r="K12" s="151"/>
      <c r="L12" s="150"/>
    </row>
    <row r="13" spans="1:12" x14ac:dyDescent="0.3">
      <c r="A13" s="192" t="s">
        <v>1343</v>
      </c>
      <c r="B13" s="100" t="s">
        <v>911</v>
      </c>
      <c r="C13" s="50" t="s">
        <v>1389</v>
      </c>
      <c r="D13" s="103"/>
      <c r="E13" s="103">
        <v>54500</v>
      </c>
      <c r="F13" s="146"/>
      <c r="G13" s="147">
        <f t="shared" si="0"/>
        <v>218366</v>
      </c>
      <c r="H13" s="204"/>
      <c r="K13" s="151"/>
      <c r="L13" s="150"/>
    </row>
    <row r="14" spans="1:12" x14ac:dyDescent="0.3">
      <c r="A14" s="192" t="s">
        <v>1469</v>
      </c>
      <c r="B14" s="100" t="s">
        <v>1486</v>
      </c>
      <c r="C14" s="50" t="s">
        <v>560</v>
      </c>
      <c r="D14" s="103"/>
      <c r="E14" s="103">
        <v>1430</v>
      </c>
      <c r="F14" s="146"/>
      <c r="G14" s="147">
        <f t="shared" si="0"/>
        <v>216936</v>
      </c>
      <c r="H14" s="204"/>
      <c r="K14" s="151"/>
      <c r="L14" s="150"/>
    </row>
    <row r="15" spans="1:12" x14ac:dyDescent="0.3">
      <c r="A15" s="192" t="s">
        <v>1509</v>
      </c>
      <c r="B15" s="100" t="s">
        <v>1515</v>
      </c>
      <c r="C15" s="50" t="s">
        <v>680</v>
      </c>
      <c r="D15" s="103"/>
      <c r="E15" s="103">
        <v>16900</v>
      </c>
      <c r="F15" s="146"/>
      <c r="G15" s="147">
        <f t="shared" si="0"/>
        <v>200036</v>
      </c>
      <c r="H15" s="204"/>
      <c r="K15" s="151"/>
      <c r="L15" s="150"/>
    </row>
    <row r="16" spans="1:12" x14ac:dyDescent="0.3">
      <c r="A16" s="192"/>
      <c r="B16" s="100" t="s">
        <v>1517</v>
      </c>
      <c r="C16" s="50" t="s">
        <v>311</v>
      </c>
      <c r="D16" s="103"/>
      <c r="E16" s="103">
        <v>200</v>
      </c>
      <c r="F16" s="146"/>
      <c r="G16" s="147">
        <f t="shared" si="0"/>
        <v>199836</v>
      </c>
      <c r="H16" s="204"/>
      <c r="K16" s="151"/>
      <c r="L16" s="150"/>
    </row>
    <row r="17" spans="1:15" x14ac:dyDescent="0.3">
      <c r="A17" s="192"/>
      <c r="B17" s="100"/>
      <c r="C17" s="50"/>
      <c r="D17" s="103"/>
      <c r="E17" s="103"/>
      <c r="F17" s="146"/>
      <c r="G17" s="147"/>
      <c r="H17" s="204"/>
      <c r="K17" s="151"/>
      <c r="L17" s="150"/>
    </row>
    <row r="18" spans="1:15" x14ac:dyDescent="0.3">
      <c r="A18" s="192" t="s">
        <v>1130</v>
      </c>
      <c r="B18" s="100" t="s">
        <v>1148</v>
      </c>
      <c r="C18" s="50" t="s">
        <v>1327</v>
      </c>
      <c r="D18" s="103">
        <v>210000</v>
      </c>
      <c r="E18" s="103"/>
      <c r="F18" s="146"/>
      <c r="G18" s="147">
        <v>210000</v>
      </c>
      <c r="H18" s="204" t="s">
        <v>302</v>
      </c>
      <c r="K18" s="151"/>
      <c r="L18" s="150"/>
    </row>
    <row r="19" spans="1:15" x14ac:dyDescent="0.3">
      <c r="A19" s="192" t="s">
        <v>1416</v>
      </c>
      <c r="B19" s="107" t="s">
        <v>1423</v>
      </c>
      <c r="C19" s="86" t="s">
        <v>819</v>
      </c>
      <c r="D19" s="108"/>
      <c r="E19" s="108">
        <v>120980</v>
      </c>
      <c r="F19" s="146"/>
      <c r="G19" s="147">
        <f>G18-E19</f>
        <v>89020</v>
      </c>
      <c r="H19" s="204"/>
      <c r="K19" s="151"/>
      <c r="L19" s="150"/>
    </row>
    <row r="20" spans="1:15" x14ac:dyDescent="0.3">
      <c r="A20" s="192" t="s">
        <v>1455</v>
      </c>
      <c r="B20" s="107" t="s">
        <v>1456</v>
      </c>
      <c r="C20" s="86" t="s">
        <v>1457</v>
      </c>
      <c r="D20" s="108"/>
      <c r="E20" s="108">
        <v>40000</v>
      </c>
      <c r="F20" s="146"/>
      <c r="G20" s="147">
        <f>G19-E20</f>
        <v>49020</v>
      </c>
      <c r="H20" s="204"/>
      <c r="K20" s="151"/>
      <c r="L20" s="150"/>
    </row>
    <row r="21" spans="1:15" x14ac:dyDescent="0.3">
      <c r="A21" s="192" t="s">
        <v>1509</v>
      </c>
      <c r="B21" s="107" t="s">
        <v>1516</v>
      </c>
      <c r="C21" s="86" t="s">
        <v>680</v>
      </c>
      <c r="D21" s="108"/>
      <c r="E21" s="108">
        <v>470</v>
      </c>
      <c r="F21" s="101"/>
      <c r="G21" s="147">
        <f>G20-E21</f>
        <v>48550</v>
      </c>
      <c r="H21" s="204"/>
      <c r="K21" s="151"/>
      <c r="L21" s="150"/>
    </row>
    <row r="22" spans="1:15" x14ac:dyDescent="0.3">
      <c r="A22" s="192"/>
      <c r="B22" s="107"/>
      <c r="C22" s="203"/>
      <c r="D22" s="108"/>
      <c r="E22" s="190"/>
      <c r="F22" s="146"/>
      <c r="G22" s="147"/>
      <c r="H22" s="204"/>
      <c r="K22" s="151"/>
      <c r="L22" s="150"/>
    </row>
    <row r="23" spans="1:15" x14ac:dyDescent="0.3">
      <c r="A23" s="192"/>
      <c r="B23" s="107"/>
      <c r="C23" s="203"/>
      <c r="D23" s="108"/>
      <c r="E23" s="190"/>
      <c r="F23" s="146"/>
      <c r="G23" s="147"/>
      <c r="H23" s="204"/>
      <c r="K23" s="151"/>
      <c r="L23" s="150"/>
    </row>
    <row r="24" spans="1:15" x14ac:dyDescent="0.3">
      <c r="A24" s="192"/>
      <c r="B24" s="107"/>
      <c r="C24" s="203"/>
      <c r="D24" s="108"/>
      <c r="E24" s="190"/>
      <c r="F24" s="146"/>
      <c r="G24" s="147"/>
      <c r="H24" s="204"/>
      <c r="K24" s="151"/>
      <c r="L24" s="150"/>
    </row>
    <row r="25" spans="1:15" x14ac:dyDescent="0.3">
      <c r="A25" s="192"/>
      <c r="B25" s="107"/>
      <c r="C25" s="202"/>
      <c r="D25" s="146"/>
      <c r="E25" s="101"/>
      <c r="F25" s="101"/>
      <c r="G25" s="147"/>
      <c r="H25" s="162"/>
      <c r="K25" s="151"/>
      <c r="L25" s="150"/>
    </row>
    <row r="26" spans="1:15" ht="18" thickBot="1" x14ac:dyDescent="0.35">
      <c r="A26" s="118"/>
      <c r="B26" s="155"/>
      <c r="C26" s="143" t="s">
        <v>102</v>
      </c>
      <c r="D26" s="182">
        <f>SUM(D7:D25)</f>
        <v>497000</v>
      </c>
      <c r="E26" s="182">
        <f>SUM(E7:E25)</f>
        <v>244261</v>
      </c>
      <c r="F26" s="182">
        <f>SUM(F7:F25)</f>
        <v>1793</v>
      </c>
      <c r="G26" s="173">
        <f>D26-E26-F26</f>
        <v>250946</v>
      </c>
      <c r="H26" s="104"/>
      <c r="K26" s="151"/>
      <c r="L26" s="150"/>
    </row>
    <row r="27" spans="1:15" ht="18" thickTop="1" x14ac:dyDescent="0.3">
      <c r="D27" s="149"/>
      <c r="F27" s="189"/>
      <c r="G27" s="214"/>
      <c r="J27" s="167"/>
      <c r="K27" s="151"/>
      <c r="L27" s="150"/>
    </row>
    <row r="28" spans="1:15" x14ac:dyDescent="0.3">
      <c r="D28" s="149"/>
      <c r="E28" s="144"/>
      <c r="F28" s="176"/>
      <c r="G28" s="144"/>
      <c r="J28" s="167"/>
    </row>
    <row r="29" spans="1:15" x14ac:dyDescent="0.3">
      <c r="D29" s="149"/>
      <c r="E29" s="144"/>
      <c r="G29" s="144"/>
      <c r="J29" s="144"/>
      <c r="M29" s="144"/>
    </row>
    <row r="30" spans="1:15" x14ac:dyDescent="0.3">
      <c r="C30" s="176"/>
      <c r="E30" s="144"/>
      <c r="G30" s="176"/>
      <c r="M30" s="144"/>
    </row>
    <row r="31" spans="1:15" x14ac:dyDescent="0.3">
      <c r="C31" s="176"/>
      <c r="E31" s="176"/>
      <c r="G31" s="176"/>
      <c r="M31" s="176"/>
      <c r="O31" s="176"/>
    </row>
    <row r="32" spans="1:15" x14ac:dyDescent="0.3">
      <c r="E32" s="151"/>
      <c r="F32" s="144"/>
      <c r="G32" s="176"/>
      <c r="M32" s="144"/>
      <c r="N32" s="144"/>
      <c r="O32" s="176"/>
    </row>
    <row r="33" spans="2:15" x14ac:dyDescent="0.3">
      <c r="B33" s="150"/>
      <c r="C33" s="158"/>
      <c r="D33" s="183"/>
      <c r="E33" s="184"/>
      <c r="G33" s="185"/>
      <c r="O33" s="185"/>
    </row>
    <row r="34" spans="2:15" x14ac:dyDescent="0.3">
      <c r="B34" s="150"/>
      <c r="C34" s="150"/>
      <c r="D34" s="152"/>
      <c r="E34" s="151"/>
    </row>
    <row r="35" spans="2:15" x14ac:dyDescent="0.3">
      <c r="B35" s="150"/>
      <c r="C35" s="150"/>
      <c r="D35" s="152"/>
      <c r="E35" s="151"/>
      <c r="G35" s="144"/>
      <c r="O35" s="144"/>
    </row>
    <row r="36" spans="2:15" x14ac:dyDescent="0.3">
      <c r="B36" s="150"/>
      <c r="C36" s="150"/>
      <c r="D36" s="152"/>
      <c r="E36" s="151"/>
      <c r="G36" s="144"/>
    </row>
    <row r="37" spans="2:15" x14ac:dyDescent="0.3">
      <c r="B37" s="150"/>
      <c r="C37" s="150"/>
      <c r="D37" s="186"/>
      <c r="E37" s="158"/>
    </row>
    <row r="38" spans="2:15" x14ac:dyDescent="0.3">
      <c r="B38" s="150"/>
      <c r="C38" s="150"/>
      <c r="D38" s="150"/>
      <c r="E38" s="151"/>
    </row>
    <row r="39" spans="2:15" x14ac:dyDescent="0.3">
      <c r="B39" s="150"/>
      <c r="C39" s="150"/>
      <c r="D39" s="150"/>
      <c r="E39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topLeftCell="A3" workbookViewId="0">
      <selection activeCell="J27" sqref="J27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1" style="88" customWidth="1"/>
    <col min="4" max="4" width="10.7109375" style="88" customWidth="1"/>
    <col min="5" max="5" width="10.140625" style="88" customWidth="1"/>
    <col min="6" max="6" width="7.2851562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1345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791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792</v>
      </c>
      <c r="B7" s="107" t="s">
        <v>793</v>
      </c>
      <c r="C7" s="203" t="s">
        <v>794</v>
      </c>
      <c r="D7" s="108">
        <v>146500</v>
      </c>
      <c r="E7" s="190"/>
      <c r="F7" s="146"/>
      <c r="G7" s="147">
        <v>146500</v>
      </c>
      <c r="H7" s="204" t="s">
        <v>18</v>
      </c>
    </row>
    <row r="8" spans="1:12" x14ac:dyDescent="0.3">
      <c r="A8" s="192"/>
      <c r="B8" s="107"/>
      <c r="C8" s="203"/>
      <c r="D8" s="108"/>
      <c r="E8" s="190"/>
      <c r="F8" s="101"/>
      <c r="G8" s="147"/>
      <c r="H8" s="204"/>
    </row>
    <row r="9" spans="1:12" ht="18.75" x14ac:dyDescent="0.3">
      <c r="A9" s="192" t="s">
        <v>1526</v>
      </c>
      <c r="B9" s="100" t="s">
        <v>1531</v>
      </c>
      <c r="C9" s="234" t="s">
        <v>1282</v>
      </c>
      <c r="D9" s="103">
        <v>8000</v>
      </c>
      <c r="E9" s="103">
        <v>8000</v>
      </c>
      <c r="F9" s="103"/>
      <c r="G9" s="102">
        <f>D9-E9</f>
        <v>0</v>
      </c>
      <c r="H9" s="104"/>
    </row>
    <row r="10" spans="1:12" ht="18.75" x14ac:dyDescent="0.3">
      <c r="A10" s="192"/>
      <c r="B10" s="100" t="s">
        <v>1534</v>
      </c>
      <c r="C10" s="234" t="s">
        <v>1283</v>
      </c>
      <c r="D10" s="103">
        <v>8000</v>
      </c>
      <c r="E10" s="103">
        <v>8000</v>
      </c>
      <c r="F10" s="103"/>
      <c r="G10" s="102">
        <f t="shared" ref="G10:G28" si="0">D10-E10</f>
        <v>0</v>
      </c>
      <c r="H10" s="85"/>
      <c r="K10" s="151"/>
      <c r="L10" s="150"/>
    </row>
    <row r="11" spans="1:12" ht="18.75" x14ac:dyDescent="0.3">
      <c r="A11" s="192" t="s">
        <v>1526</v>
      </c>
      <c r="B11" s="100" t="s">
        <v>1528</v>
      </c>
      <c r="C11" s="234" t="s">
        <v>1284</v>
      </c>
      <c r="D11" s="103">
        <v>18000</v>
      </c>
      <c r="E11" s="103">
        <v>18000</v>
      </c>
      <c r="F11" s="146"/>
      <c r="G11" s="102">
        <f t="shared" si="0"/>
        <v>0</v>
      </c>
      <c r="H11" s="204"/>
      <c r="K11" s="151"/>
      <c r="L11" s="150"/>
    </row>
    <row r="12" spans="1:12" ht="18.75" x14ac:dyDescent="0.3">
      <c r="A12" s="192"/>
      <c r="B12" s="100" t="s">
        <v>1530</v>
      </c>
      <c r="C12" s="234" t="s">
        <v>1285</v>
      </c>
      <c r="D12" s="103">
        <v>8000</v>
      </c>
      <c r="E12" s="103">
        <v>8000</v>
      </c>
      <c r="F12" s="146"/>
      <c r="G12" s="102">
        <f t="shared" si="0"/>
        <v>0</v>
      </c>
      <c r="H12" s="204"/>
      <c r="K12" s="151"/>
      <c r="L12" s="150"/>
    </row>
    <row r="13" spans="1:12" ht="18.75" x14ac:dyDescent="0.3">
      <c r="A13" s="192"/>
      <c r="B13" s="100" t="s">
        <v>1532</v>
      </c>
      <c r="C13" s="234" t="s">
        <v>1286</v>
      </c>
      <c r="D13" s="103">
        <v>8000</v>
      </c>
      <c r="E13" s="103">
        <v>8000</v>
      </c>
      <c r="F13" s="146"/>
      <c r="G13" s="102">
        <f t="shared" si="0"/>
        <v>0</v>
      </c>
      <c r="H13" s="204"/>
      <c r="K13" s="151"/>
      <c r="L13" s="150"/>
    </row>
    <row r="14" spans="1:12" ht="18.75" x14ac:dyDescent="0.3">
      <c r="A14" s="192"/>
      <c r="B14" s="107"/>
      <c r="C14" s="235" t="s">
        <v>401</v>
      </c>
      <c r="D14" s="103">
        <v>8000</v>
      </c>
      <c r="E14" s="190"/>
      <c r="F14" s="146"/>
      <c r="G14" s="102">
        <f t="shared" si="0"/>
        <v>8000</v>
      </c>
      <c r="H14" s="204"/>
      <c r="K14" s="151"/>
      <c r="L14" s="150"/>
    </row>
    <row r="15" spans="1:12" ht="18.75" x14ac:dyDescent="0.3">
      <c r="A15" s="192"/>
      <c r="B15" s="107"/>
      <c r="C15" s="235" t="s">
        <v>397</v>
      </c>
      <c r="D15" s="103">
        <v>8000</v>
      </c>
      <c r="E15" s="190"/>
      <c r="F15" s="146"/>
      <c r="G15" s="102">
        <f t="shared" si="0"/>
        <v>8000</v>
      </c>
      <c r="H15" s="204"/>
      <c r="K15" s="151"/>
      <c r="L15" s="150"/>
    </row>
    <row r="16" spans="1:12" ht="18.75" x14ac:dyDescent="0.3">
      <c r="A16" s="192"/>
      <c r="B16" s="107"/>
      <c r="C16" s="235" t="s">
        <v>40</v>
      </c>
      <c r="D16" s="108">
        <v>18000</v>
      </c>
      <c r="E16" s="190"/>
      <c r="F16" s="101"/>
      <c r="G16" s="102">
        <f t="shared" si="0"/>
        <v>18000</v>
      </c>
      <c r="H16" s="204"/>
      <c r="K16" s="151"/>
      <c r="L16" s="150"/>
    </row>
    <row r="17" spans="1:12" ht="18.75" x14ac:dyDescent="0.3">
      <c r="A17" s="192"/>
      <c r="B17" s="107" t="s">
        <v>1529</v>
      </c>
      <c r="C17" s="235" t="s">
        <v>1287</v>
      </c>
      <c r="D17" s="108">
        <v>8000</v>
      </c>
      <c r="E17" s="108">
        <v>8000</v>
      </c>
      <c r="F17" s="146"/>
      <c r="G17" s="102">
        <f t="shared" si="0"/>
        <v>0</v>
      </c>
      <c r="H17" s="204"/>
      <c r="K17" s="151"/>
      <c r="L17" s="150"/>
    </row>
    <row r="18" spans="1:12" ht="18.75" x14ac:dyDescent="0.3">
      <c r="A18" s="192"/>
      <c r="B18" s="107" t="s">
        <v>1533</v>
      </c>
      <c r="C18" s="235" t="s">
        <v>1288</v>
      </c>
      <c r="D18" s="108">
        <v>18000</v>
      </c>
      <c r="E18" s="108">
        <v>18000</v>
      </c>
      <c r="F18" s="146"/>
      <c r="G18" s="102">
        <f t="shared" si="0"/>
        <v>0</v>
      </c>
      <c r="H18" s="204"/>
      <c r="K18" s="151"/>
      <c r="L18" s="150"/>
    </row>
    <row r="19" spans="1:12" ht="18.75" x14ac:dyDescent="0.3">
      <c r="A19" s="192"/>
      <c r="B19" s="107"/>
      <c r="C19" s="235" t="s">
        <v>1289</v>
      </c>
      <c r="D19" s="108">
        <v>8000</v>
      </c>
      <c r="E19" s="190"/>
      <c r="F19" s="146"/>
      <c r="G19" s="102">
        <f t="shared" si="0"/>
        <v>8000</v>
      </c>
      <c r="H19" s="204"/>
      <c r="K19" s="151"/>
      <c r="L19" s="150"/>
    </row>
    <row r="20" spans="1:12" ht="18.75" x14ac:dyDescent="0.3">
      <c r="A20" s="192"/>
      <c r="B20" s="107"/>
      <c r="C20" s="235" t="s">
        <v>1290</v>
      </c>
      <c r="D20" s="108">
        <v>8000</v>
      </c>
      <c r="E20" s="190"/>
      <c r="F20" s="146"/>
      <c r="G20" s="102">
        <f t="shared" si="0"/>
        <v>8000</v>
      </c>
      <c r="H20" s="204"/>
      <c r="K20" s="151"/>
      <c r="L20" s="150"/>
    </row>
    <row r="21" spans="1:12" ht="18.75" x14ac:dyDescent="0.3">
      <c r="A21" s="192"/>
      <c r="B21" s="107" t="s">
        <v>1535</v>
      </c>
      <c r="C21" s="235" t="s">
        <v>1291</v>
      </c>
      <c r="D21" s="108">
        <v>8000</v>
      </c>
      <c r="E21" s="108">
        <v>8000</v>
      </c>
      <c r="F21" s="146"/>
      <c r="G21" s="102">
        <f t="shared" si="0"/>
        <v>0</v>
      </c>
      <c r="H21" s="204"/>
      <c r="K21" s="151"/>
      <c r="L21" s="150"/>
    </row>
    <row r="22" spans="1:12" ht="18.75" x14ac:dyDescent="0.3">
      <c r="A22" s="192"/>
      <c r="B22" s="107"/>
      <c r="C22" s="235" t="s">
        <v>1292</v>
      </c>
      <c r="D22" s="108">
        <v>8000</v>
      </c>
      <c r="E22" s="190"/>
      <c r="F22" s="146"/>
      <c r="G22" s="102">
        <f t="shared" si="0"/>
        <v>8000</v>
      </c>
      <c r="H22" s="204"/>
      <c r="K22" s="151"/>
      <c r="L22" s="150"/>
    </row>
    <row r="23" spans="1:12" ht="18.75" x14ac:dyDescent="0.3">
      <c r="A23" s="192"/>
      <c r="B23" s="107" t="s">
        <v>263</v>
      </c>
      <c r="C23" s="235" t="s">
        <v>1293</v>
      </c>
      <c r="D23" s="108">
        <v>8000</v>
      </c>
      <c r="E23" s="108">
        <v>8000</v>
      </c>
      <c r="F23" s="146"/>
      <c r="G23" s="102">
        <f t="shared" si="0"/>
        <v>0</v>
      </c>
      <c r="H23" s="204"/>
      <c r="K23" s="151"/>
      <c r="L23" s="150"/>
    </row>
    <row r="24" spans="1:12" ht="18.75" x14ac:dyDescent="0.3">
      <c r="A24" s="192"/>
      <c r="B24" s="107" t="s">
        <v>1536</v>
      </c>
      <c r="C24" s="235" t="s">
        <v>1294</v>
      </c>
      <c r="D24" s="108">
        <v>18000</v>
      </c>
      <c r="E24" s="108">
        <v>18000</v>
      </c>
      <c r="F24" s="146"/>
      <c r="G24" s="102">
        <f t="shared" si="0"/>
        <v>0</v>
      </c>
      <c r="H24" s="204"/>
      <c r="K24" s="151"/>
      <c r="L24" s="150"/>
    </row>
    <row r="25" spans="1:12" ht="18.75" x14ac:dyDescent="0.3">
      <c r="A25" s="192"/>
      <c r="B25" s="107" t="s">
        <v>1530</v>
      </c>
      <c r="C25" s="235" t="s">
        <v>1295</v>
      </c>
      <c r="D25" s="108">
        <v>8000</v>
      </c>
      <c r="E25" s="108">
        <v>8000</v>
      </c>
      <c r="F25" s="146"/>
      <c r="G25" s="102">
        <f t="shared" si="0"/>
        <v>0</v>
      </c>
      <c r="H25" s="204"/>
      <c r="K25" s="151"/>
      <c r="L25" s="150"/>
    </row>
    <row r="26" spans="1:12" ht="18.75" x14ac:dyDescent="0.3">
      <c r="A26" s="192"/>
      <c r="B26" s="107" t="s">
        <v>1537</v>
      </c>
      <c r="C26" s="235" t="s">
        <v>1296</v>
      </c>
      <c r="D26" s="108">
        <v>8000</v>
      </c>
      <c r="E26" s="108">
        <v>8000</v>
      </c>
      <c r="F26" s="146"/>
      <c r="G26" s="102">
        <f t="shared" si="0"/>
        <v>0</v>
      </c>
      <c r="H26" s="204"/>
      <c r="K26" s="151"/>
      <c r="L26" s="150"/>
    </row>
    <row r="27" spans="1:12" ht="18.75" x14ac:dyDescent="0.3">
      <c r="A27" s="192"/>
      <c r="B27" s="107"/>
      <c r="C27" s="235" t="s">
        <v>1297</v>
      </c>
      <c r="D27" s="108">
        <v>8000</v>
      </c>
      <c r="E27" s="190"/>
      <c r="F27" s="146"/>
      <c r="G27" s="102">
        <f t="shared" si="0"/>
        <v>8000</v>
      </c>
      <c r="H27" s="204"/>
      <c r="K27" s="151"/>
      <c r="L27" s="150"/>
    </row>
    <row r="28" spans="1:12" ht="18.75" x14ac:dyDescent="0.3">
      <c r="A28" s="192" t="s">
        <v>1526</v>
      </c>
      <c r="B28" s="107" t="s">
        <v>1527</v>
      </c>
      <c r="C28" s="235" t="s">
        <v>1298</v>
      </c>
      <c r="D28" s="108">
        <v>8000</v>
      </c>
      <c r="E28" s="108">
        <v>8000</v>
      </c>
      <c r="F28" s="146"/>
      <c r="G28" s="102">
        <f t="shared" si="0"/>
        <v>0</v>
      </c>
      <c r="H28" s="204"/>
      <c r="K28" s="151"/>
      <c r="L28" s="150"/>
    </row>
    <row r="29" spans="1:12" x14ac:dyDescent="0.3">
      <c r="A29" s="192"/>
      <c r="B29" s="107"/>
      <c r="C29" s="203"/>
      <c r="D29" s="108"/>
      <c r="E29" s="190"/>
      <c r="F29" s="146"/>
      <c r="G29" s="147"/>
      <c r="H29" s="204"/>
      <c r="K29" s="151"/>
      <c r="L29" s="150"/>
    </row>
    <row r="30" spans="1:12" x14ac:dyDescent="0.3">
      <c r="A30" s="192"/>
      <c r="B30" s="107"/>
      <c r="C30" s="202"/>
      <c r="D30" s="146"/>
      <c r="E30" s="101"/>
      <c r="F30" s="101"/>
      <c r="G30" s="147"/>
      <c r="H30" s="162"/>
      <c r="K30" s="151"/>
      <c r="L30" s="150"/>
    </row>
    <row r="31" spans="1:12" ht="18" thickBot="1" x14ac:dyDescent="0.35">
      <c r="A31" s="118"/>
      <c r="B31" s="155"/>
      <c r="C31" s="143" t="s">
        <v>102</v>
      </c>
      <c r="D31" s="182">
        <f>SUM(D7:D30)</f>
        <v>346500</v>
      </c>
      <c r="E31" s="182">
        <f>SUM(E7:E30)</f>
        <v>134000</v>
      </c>
      <c r="F31" s="182">
        <f>SUM(F7:F30)</f>
        <v>0</v>
      </c>
      <c r="G31" s="173">
        <f>D31-E31-F31</f>
        <v>212500</v>
      </c>
      <c r="H31" s="104"/>
      <c r="K31" s="151"/>
      <c r="L31" s="150"/>
    </row>
    <row r="32" spans="1:12" ht="18" thickTop="1" x14ac:dyDescent="0.3">
      <c r="D32" s="149"/>
      <c r="F32" s="189"/>
      <c r="G32" s="214"/>
      <c r="J32" s="167"/>
      <c r="K32" s="151"/>
      <c r="L32" s="150"/>
    </row>
    <row r="33" spans="2:15" x14ac:dyDescent="0.3">
      <c r="D33" s="149"/>
      <c r="E33" s="144"/>
      <c r="F33" s="176"/>
      <c r="G33" s="144"/>
      <c r="J33" s="167"/>
    </row>
    <row r="34" spans="2:15" x14ac:dyDescent="0.3">
      <c r="D34" s="149"/>
      <c r="E34" s="144"/>
      <c r="G34" s="144"/>
      <c r="J34" s="144"/>
      <c r="M34" s="144"/>
    </row>
    <row r="35" spans="2:15" x14ac:dyDescent="0.3">
      <c r="C35" s="176"/>
      <c r="E35" s="144"/>
      <c r="G35" s="176"/>
      <c r="M35" s="144"/>
    </row>
    <row r="36" spans="2:15" x14ac:dyDescent="0.3">
      <c r="C36" s="176"/>
      <c r="E36" s="176"/>
      <c r="G36" s="176"/>
      <c r="M36" s="176"/>
      <c r="O36" s="176"/>
    </row>
    <row r="37" spans="2:15" x14ac:dyDescent="0.3">
      <c r="E37" s="151"/>
      <c r="F37" s="144"/>
      <c r="G37" s="176"/>
      <c r="M37" s="144"/>
      <c r="N37" s="144"/>
      <c r="O37" s="176"/>
    </row>
    <row r="38" spans="2:15" x14ac:dyDescent="0.3">
      <c r="B38" s="150"/>
      <c r="C38" s="158"/>
      <c r="D38" s="183"/>
      <c r="E38" s="184"/>
      <c r="G38" s="185"/>
      <c r="O38" s="185"/>
    </row>
    <row r="39" spans="2:15" x14ac:dyDescent="0.3">
      <c r="B39" s="150"/>
      <c r="C39" s="150"/>
      <c r="D39" s="152"/>
      <c r="E39" s="151"/>
    </row>
    <row r="40" spans="2:15" x14ac:dyDescent="0.3">
      <c r="B40" s="150"/>
      <c r="C40" s="150"/>
      <c r="D40" s="152"/>
      <c r="E40" s="151"/>
      <c r="G40" s="144"/>
      <c r="O40" s="144"/>
    </row>
    <row r="41" spans="2:15" x14ac:dyDescent="0.3">
      <c r="B41" s="150"/>
      <c r="C41" s="150"/>
      <c r="D41" s="152"/>
      <c r="E41" s="151"/>
      <c r="G41" s="144"/>
    </row>
    <row r="42" spans="2:15" x14ac:dyDescent="0.3">
      <c r="B42" s="150"/>
      <c r="C42" s="150"/>
      <c r="D42" s="186"/>
      <c r="E42" s="158"/>
    </row>
    <row r="43" spans="2:15" x14ac:dyDescent="0.3">
      <c r="B43" s="150"/>
      <c r="C43" s="150"/>
      <c r="D43" s="150"/>
      <c r="E43" s="151"/>
    </row>
    <row r="44" spans="2:15" x14ac:dyDescent="0.3">
      <c r="B44" s="150"/>
      <c r="C44" s="150"/>
      <c r="D44" s="150"/>
      <c r="E44" s="158"/>
    </row>
  </sheetData>
  <mergeCells count="2">
    <mergeCell ref="A2:H2"/>
    <mergeCell ref="A3:H3"/>
  </mergeCells>
  <pageMargins left="0.27" right="0.15" top="0.28999999999999998" bottom="0.15748031496062992" header="0.15748031496062992" footer="0.1574803149606299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E14" sqref="E14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33" style="88" customWidth="1"/>
    <col min="4" max="4" width="10.7109375" style="88" customWidth="1"/>
    <col min="5" max="5" width="11.140625" style="88" customWidth="1"/>
    <col min="6" max="6" width="8.14062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x14ac:dyDescent="0.3">
      <c r="A3" s="335" t="s">
        <v>1345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87"/>
      <c r="D4" s="87"/>
      <c r="E4" s="164"/>
      <c r="F4" s="87"/>
      <c r="G4" s="181" t="s">
        <v>5</v>
      </c>
      <c r="H4" s="181" t="s">
        <v>755</v>
      </c>
    </row>
    <row r="5" spans="1:12" x14ac:dyDescent="0.3">
      <c r="A5" s="191" t="s">
        <v>16</v>
      </c>
      <c r="B5" s="168" t="s">
        <v>12</v>
      </c>
      <c r="C5" s="91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12" x14ac:dyDescent="0.3">
      <c r="A6" s="115"/>
      <c r="B6" s="94"/>
      <c r="C6" s="95"/>
      <c r="D6" s="96" t="s">
        <v>0</v>
      </c>
      <c r="E6" s="96"/>
      <c r="F6" s="96" t="s">
        <v>33</v>
      </c>
      <c r="G6" s="97"/>
      <c r="H6" s="170"/>
    </row>
    <row r="7" spans="1:12" x14ac:dyDescent="0.3">
      <c r="A7" s="192" t="s">
        <v>756</v>
      </c>
      <c r="B7" s="107" t="s">
        <v>757</v>
      </c>
      <c r="C7" s="86" t="s">
        <v>759</v>
      </c>
      <c r="D7" s="108">
        <v>80000</v>
      </c>
      <c r="E7" s="190"/>
      <c r="F7" s="146"/>
      <c r="G7" s="147">
        <v>80000</v>
      </c>
      <c r="H7" s="204" t="s">
        <v>1121</v>
      </c>
    </row>
    <row r="8" spans="1:12" x14ac:dyDescent="0.3">
      <c r="A8" s="192" t="s">
        <v>1115</v>
      </c>
      <c r="B8" s="107" t="s">
        <v>1119</v>
      </c>
      <c r="C8" s="86" t="s">
        <v>1120</v>
      </c>
      <c r="D8" s="108">
        <v>25000</v>
      </c>
      <c r="E8" s="190"/>
      <c r="F8" s="101"/>
      <c r="G8" s="147">
        <f>G7+D8</f>
        <v>105000</v>
      </c>
      <c r="H8" s="204" t="s">
        <v>1299</v>
      </c>
    </row>
    <row r="9" spans="1:12" x14ac:dyDescent="0.3">
      <c r="A9" s="192" t="s">
        <v>1513</v>
      </c>
      <c r="B9" s="107" t="s">
        <v>1546</v>
      </c>
      <c r="C9" s="86" t="s">
        <v>1547</v>
      </c>
      <c r="D9" s="108"/>
      <c r="E9" s="108">
        <v>71056</v>
      </c>
      <c r="F9" s="103"/>
      <c r="G9" s="147">
        <f>G8-E9</f>
        <v>33944</v>
      </c>
      <c r="H9" s="204"/>
    </row>
    <row r="10" spans="1:12" x14ac:dyDescent="0.3">
      <c r="A10" s="192"/>
      <c r="B10" s="107"/>
      <c r="C10" s="86"/>
      <c r="D10" s="108"/>
      <c r="E10" s="190"/>
      <c r="F10" s="103"/>
      <c r="G10" s="147"/>
      <c r="H10" s="204"/>
    </row>
    <row r="11" spans="1:12" x14ac:dyDescent="0.3">
      <c r="A11" s="192"/>
      <c r="B11" s="100"/>
      <c r="C11" s="50"/>
      <c r="D11" s="103"/>
      <c r="E11" s="103"/>
      <c r="F11" s="103"/>
      <c r="G11" s="102"/>
      <c r="H11" s="104"/>
    </row>
    <row r="12" spans="1:12" x14ac:dyDescent="0.3">
      <c r="A12" s="192"/>
      <c r="B12" s="100"/>
      <c r="C12" s="50"/>
      <c r="D12" s="103"/>
      <c r="E12" s="103"/>
      <c r="F12" s="103"/>
      <c r="G12" s="226"/>
      <c r="H12" s="85"/>
      <c r="K12" s="151"/>
      <c r="L12" s="150"/>
    </row>
    <row r="13" spans="1:12" x14ac:dyDescent="0.3">
      <c r="A13" s="192" t="s">
        <v>867</v>
      </c>
      <c r="B13" s="100" t="s">
        <v>870</v>
      </c>
      <c r="C13" s="50" t="s">
        <v>871</v>
      </c>
      <c r="D13" s="103">
        <v>2500</v>
      </c>
      <c r="E13" s="103"/>
      <c r="F13" s="146"/>
      <c r="G13" s="147">
        <v>2500</v>
      </c>
      <c r="H13" s="204" t="s">
        <v>758</v>
      </c>
      <c r="K13" s="151"/>
      <c r="L13" s="150"/>
    </row>
    <row r="14" spans="1:12" x14ac:dyDescent="0.3">
      <c r="A14" s="192" t="s">
        <v>969</v>
      </c>
      <c r="B14" s="100" t="s">
        <v>970</v>
      </c>
      <c r="C14" s="50" t="s">
        <v>971</v>
      </c>
      <c r="D14" s="103"/>
      <c r="E14" s="103">
        <v>1398</v>
      </c>
      <c r="F14" s="146"/>
      <c r="G14" s="147">
        <f>G13-E14</f>
        <v>1102</v>
      </c>
      <c r="H14" s="204"/>
      <c r="K14" s="151"/>
      <c r="L14" s="150"/>
    </row>
    <row r="15" spans="1:12" x14ac:dyDescent="0.3">
      <c r="A15" s="192"/>
      <c r="B15" s="100"/>
      <c r="C15" s="50"/>
      <c r="D15" s="103"/>
      <c r="E15" s="103"/>
      <c r="F15" s="146"/>
      <c r="G15" s="147"/>
      <c r="H15" s="204"/>
      <c r="K15" s="151"/>
      <c r="L15" s="150"/>
    </row>
    <row r="16" spans="1:12" x14ac:dyDescent="0.3">
      <c r="A16" s="192"/>
      <c r="B16" s="107"/>
      <c r="C16" s="86"/>
      <c r="D16" s="108"/>
      <c r="E16" s="190"/>
      <c r="F16" s="146"/>
      <c r="G16" s="147"/>
      <c r="H16" s="204"/>
      <c r="K16" s="151"/>
      <c r="L16" s="150"/>
    </row>
    <row r="17" spans="1:15" x14ac:dyDescent="0.3">
      <c r="A17" s="192"/>
      <c r="B17" s="107"/>
      <c r="C17" s="203"/>
      <c r="D17" s="108"/>
      <c r="E17" s="190"/>
      <c r="F17" s="146"/>
      <c r="G17" s="147"/>
      <c r="H17" s="204"/>
      <c r="K17" s="151"/>
      <c r="L17" s="150"/>
    </row>
    <row r="18" spans="1:15" x14ac:dyDescent="0.3">
      <c r="A18" s="192"/>
      <c r="B18" s="107"/>
      <c r="C18" s="203"/>
      <c r="D18" s="108"/>
      <c r="E18" s="190"/>
      <c r="F18" s="101"/>
      <c r="G18" s="147"/>
      <c r="H18" s="204"/>
      <c r="K18" s="151"/>
      <c r="L18" s="150"/>
    </row>
    <row r="19" spans="1:15" x14ac:dyDescent="0.3">
      <c r="A19" s="192"/>
      <c r="B19" s="107"/>
      <c r="C19" s="203"/>
      <c r="D19" s="108"/>
      <c r="E19" s="190"/>
      <c r="F19" s="146"/>
      <c r="G19" s="147"/>
      <c r="H19" s="204"/>
      <c r="K19" s="151"/>
      <c r="L19" s="150"/>
    </row>
    <row r="20" spans="1:15" x14ac:dyDescent="0.3">
      <c r="A20" s="192"/>
      <c r="B20" s="107"/>
      <c r="C20" s="203"/>
      <c r="D20" s="108"/>
      <c r="E20" s="190"/>
      <c r="F20" s="146"/>
      <c r="G20" s="147"/>
      <c r="H20" s="204"/>
      <c r="K20" s="151"/>
      <c r="L20" s="150"/>
    </row>
    <row r="21" spans="1:15" x14ac:dyDescent="0.3">
      <c r="A21" s="192"/>
      <c r="B21" s="107"/>
      <c r="C21" s="203"/>
      <c r="D21" s="108"/>
      <c r="E21" s="190"/>
      <c r="F21" s="146"/>
      <c r="G21" s="147"/>
      <c r="H21" s="204"/>
      <c r="K21" s="151"/>
      <c r="L21" s="150"/>
    </row>
    <row r="22" spans="1:15" x14ac:dyDescent="0.3">
      <c r="A22" s="192"/>
      <c r="B22" s="107"/>
      <c r="C22" s="202"/>
      <c r="D22" s="146"/>
      <c r="E22" s="101"/>
      <c r="F22" s="101"/>
      <c r="G22" s="147"/>
      <c r="H22" s="162"/>
      <c r="K22" s="151"/>
      <c r="L22" s="150"/>
    </row>
    <row r="23" spans="1:15" ht="18" thickBot="1" x14ac:dyDescent="0.35">
      <c r="A23" s="118"/>
      <c r="B23" s="155"/>
      <c r="C23" s="143" t="s">
        <v>102</v>
      </c>
      <c r="D23" s="182">
        <f>SUM(D7:D22)</f>
        <v>107500</v>
      </c>
      <c r="E23" s="182">
        <f>SUM(E7:E22)</f>
        <v>72454</v>
      </c>
      <c r="F23" s="182">
        <f>SUM(F7:F22)</f>
        <v>0</v>
      </c>
      <c r="G23" s="173">
        <f>D23-E23-F23</f>
        <v>35046</v>
      </c>
      <c r="H23" s="104"/>
      <c r="K23" s="151"/>
      <c r="L23" s="150"/>
    </row>
    <row r="24" spans="1:15" ht="18" thickTop="1" x14ac:dyDescent="0.3">
      <c r="D24" s="149"/>
      <c r="F24" s="189"/>
      <c r="G24" s="214"/>
      <c r="J24" s="167"/>
      <c r="K24" s="151"/>
      <c r="L24" s="150"/>
    </row>
    <row r="25" spans="1:15" x14ac:dyDescent="0.3">
      <c r="D25" s="149"/>
      <c r="E25" s="144"/>
      <c r="F25" s="176"/>
      <c r="G25" s="144"/>
      <c r="J25" s="167"/>
    </row>
    <row r="26" spans="1:15" x14ac:dyDescent="0.3">
      <c r="D26" s="149"/>
      <c r="E26" s="144"/>
      <c r="G26" s="144"/>
      <c r="J26" s="144"/>
      <c r="M26" s="144"/>
    </row>
    <row r="27" spans="1:15" x14ac:dyDescent="0.3">
      <c r="C27" s="176"/>
      <c r="E27" s="144"/>
      <c r="G27" s="176"/>
      <c r="M27" s="144"/>
    </row>
    <row r="28" spans="1:15" x14ac:dyDescent="0.3">
      <c r="C28" s="176"/>
      <c r="E28" s="176"/>
      <c r="G28" s="176"/>
      <c r="M28" s="176"/>
      <c r="O28" s="176"/>
    </row>
    <row r="29" spans="1:15" x14ac:dyDescent="0.3">
      <c r="E29" s="151"/>
      <c r="F29" s="144"/>
      <c r="G29" s="176"/>
      <c r="M29" s="144"/>
      <c r="N29" s="144"/>
      <c r="O29" s="176"/>
    </row>
    <row r="30" spans="1:15" x14ac:dyDescent="0.3">
      <c r="B30" s="150"/>
      <c r="C30" s="158"/>
      <c r="D30" s="183"/>
      <c r="E30" s="184"/>
      <c r="G30" s="185"/>
      <c r="O30" s="185"/>
    </row>
    <row r="31" spans="1:15" x14ac:dyDescent="0.3">
      <c r="B31" s="150"/>
      <c r="C31" s="150"/>
      <c r="D31" s="152"/>
      <c r="E31" s="151"/>
    </row>
    <row r="32" spans="1:15" x14ac:dyDescent="0.3">
      <c r="B32" s="150"/>
      <c r="C32" s="150"/>
      <c r="D32" s="152"/>
      <c r="E32" s="151"/>
      <c r="G32" s="144"/>
      <c r="O32" s="144"/>
    </row>
    <row r="33" spans="2:7" x14ac:dyDescent="0.3">
      <c r="B33" s="150"/>
      <c r="C33" s="150"/>
      <c r="D33" s="152"/>
      <c r="E33" s="151"/>
      <c r="G33" s="144"/>
    </row>
    <row r="34" spans="2:7" x14ac:dyDescent="0.3">
      <c r="B34" s="150"/>
      <c r="C34" s="150"/>
      <c r="D34" s="186"/>
      <c r="E34" s="158"/>
    </row>
    <row r="35" spans="2:7" x14ac:dyDescent="0.3">
      <c r="B35" s="150"/>
      <c r="C35" s="150"/>
      <c r="D35" s="150"/>
      <c r="E35" s="151"/>
    </row>
    <row r="36" spans="2:7" x14ac:dyDescent="0.3">
      <c r="B36" s="150"/>
      <c r="C36" s="150"/>
      <c r="D36" s="150"/>
      <c r="E36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B78" sqref="B78"/>
    </sheetView>
  </sheetViews>
  <sheetFormatPr defaultRowHeight="18.75" x14ac:dyDescent="0.3"/>
  <cols>
    <col min="1" max="1" width="8.140625" style="28" customWidth="1"/>
    <col min="2" max="2" width="7.85546875" style="88" bestFit="1" customWidth="1"/>
    <col min="3" max="3" width="33" style="1" customWidth="1"/>
    <col min="4" max="4" width="10.7109375" style="88" customWidth="1"/>
    <col min="5" max="5" width="11.140625" style="88" customWidth="1"/>
    <col min="6" max="6" width="8.14062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1" spans="1:12" ht="17.25" x14ac:dyDescent="0.3">
      <c r="A1" s="335" t="s">
        <v>190</v>
      </c>
      <c r="B1" s="335"/>
      <c r="C1" s="335"/>
      <c r="D1" s="335"/>
      <c r="E1" s="335"/>
      <c r="F1" s="335"/>
      <c r="G1" s="335"/>
      <c r="H1" s="335"/>
    </row>
    <row r="2" spans="1:12" ht="17.25" x14ac:dyDescent="0.3">
      <c r="A2" s="335" t="s">
        <v>1281</v>
      </c>
      <c r="B2" s="335"/>
      <c r="C2" s="335"/>
      <c r="D2" s="335"/>
      <c r="E2" s="335"/>
      <c r="F2" s="335"/>
      <c r="G2" s="335"/>
      <c r="H2" s="335"/>
    </row>
    <row r="3" spans="1:12" x14ac:dyDescent="0.3">
      <c r="A3" s="111" t="s">
        <v>110</v>
      </c>
      <c r="B3" s="87"/>
      <c r="C3" s="73"/>
      <c r="D3" s="87"/>
      <c r="E3" s="164"/>
      <c r="F3" s="87"/>
      <c r="G3" s="181" t="s">
        <v>5</v>
      </c>
      <c r="H3" s="181" t="s">
        <v>755</v>
      </c>
    </row>
    <row r="4" spans="1:12" x14ac:dyDescent="0.3">
      <c r="A4" s="191" t="s">
        <v>16</v>
      </c>
      <c r="B4" s="168" t="s">
        <v>12</v>
      </c>
      <c r="C4" s="75" t="s">
        <v>4</v>
      </c>
      <c r="D4" s="92" t="s">
        <v>15</v>
      </c>
      <c r="E4" s="92" t="s">
        <v>1</v>
      </c>
      <c r="F4" s="92" t="s">
        <v>32</v>
      </c>
      <c r="G4" s="93" t="s">
        <v>2</v>
      </c>
      <c r="H4" s="91" t="s">
        <v>3</v>
      </c>
    </row>
    <row r="5" spans="1:12" x14ac:dyDescent="0.3">
      <c r="A5" s="115"/>
      <c r="B5" s="94"/>
      <c r="C5" s="78"/>
      <c r="D5" s="96" t="s">
        <v>0</v>
      </c>
      <c r="E5" s="96"/>
      <c r="F5" s="96" t="s">
        <v>33</v>
      </c>
      <c r="G5" s="97"/>
      <c r="H5" s="170"/>
    </row>
    <row r="6" spans="1:12" x14ac:dyDescent="0.3">
      <c r="A6" s="192" t="s">
        <v>756</v>
      </c>
      <c r="B6" s="107" t="s">
        <v>757</v>
      </c>
      <c r="C6" s="235" t="s">
        <v>1300</v>
      </c>
      <c r="D6" s="108"/>
      <c r="E6" s="190"/>
      <c r="F6" s="146"/>
      <c r="G6" s="147"/>
      <c r="H6" s="204"/>
    </row>
    <row r="7" spans="1:12" x14ac:dyDescent="0.3">
      <c r="A7" s="192"/>
      <c r="B7" s="107">
        <v>1</v>
      </c>
      <c r="C7" s="235" t="s">
        <v>63</v>
      </c>
      <c r="D7" s="108">
        <v>8000</v>
      </c>
      <c r="E7" s="190"/>
      <c r="F7" s="101"/>
      <c r="G7" s="147">
        <f>D8-E8</f>
        <v>8000</v>
      </c>
      <c r="H7" s="204"/>
    </row>
    <row r="8" spans="1:12" x14ac:dyDescent="0.3">
      <c r="A8" s="192"/>
      <c r="B8" s="107">
        <v>2</v>
      </c>
      <c r="C8" s="235" t="s">
        <v>69</v>
      </c>
      <c r="D8" s="108">
        <v>8000</v>
      </c>
      <c r="E8" s="190"/>
      <c r="F8" s="103"/>
      <c r="G8" s="147">
        <f t="shared" ref="G8:G71" si="0">D9-E9</f>
        <v>8000</v>
      </c>
      <c r="H8" s="204"/>
    </row>
    <row r="9" spans="1:12" x14ac:dyDescent="0.3">
      <c r="A9" s="192"/>
      <c r="B9" s="107">
        <v>3</v>
      </c>
      <c r="C9" s="235" t="s">
        <v>528</v>
      </c>
      <c r="D9" s="108">
        <v>8000</v>
      </c>
      <c r="E9" s="190"/>
      <c r="F9" s="103"/>
      <c r="G9" s="147">
        <f t="shared" si="0"/>
        <v>8000</v>
      </c>
      <c r="H9" s="204"/>
    </row>
    <row r="10" spans="1:12" x14ac:dyDescent="0.3">
      <c r="A10" s="192"/>
      <c r="B10" s="107">
        <v>4</v>
      </c>
      <c r="C10" s="234" t="s">
        <v>75</v>
      </c>
      <c r="D10" s="108">
        <v>8000</v>
      </c>
      <c r="E10" s="103"/>
      <c r="F10" s="103"/>
      <c r="G10" s="147">
        <f t="shared" si="0"/>
        <v>8000</v>
      </c>
      <c r="H10" s="104"/>
    </row>
    <row r="11" spans="1:12" x14ac:dyDescent="0.3">
      <c r="A11" s="192"/>
      <c r="B11" s="107">
        <v>5</v>
      </c>
      <c r="C11" s="234" t="s">
        <v>72</v>
      </c>
      <c r="D11" s="108">
        <v>8000</v>
      </c>
      <c r="E11" s="103"/>
      <c r="F11" s="103"/>
      <c r="G11" s="147">
        <f t="shared" si="0"/>
        <v>8000</v>
      </c>
      <c r="H11" s="85"/>
      <c r="K11" s="151"/>
      <c r="L11" s="150"/>
    </row>
    <row r="12" spans="1:12" x14ac:dyDescent="0.3">
      <c r="A12" s="192"/>
      <c r="B12" s="107">
        <v>6</v>
      </c>
      <c r="C12" s="234" t="s">
        <v>58</v>
      </c>
      <c r="D12" s="108">
        <v>8000</v>
      </c>
      <c r="E12" s="103"/>
      <c r="F12" s="146"/>
      <c r="G12" s="147">
        <f t="shared" si="0"/>
        <v>8000</v>
      </c>
      <c r="H12" s="204"/>
      <c r="K12" s="151"/>
      <c r="L12" s="150"/>
    </row>
    <row r="13" spans="1:12" x14ac:dyDescent="0.3">
      <c r="A13" s="192"/>
      <c r="B13" s="107">
        <v>7</v>
      </c>
      <c r="C13" s="234" t="s">
        <v>74</v>
      </c>
      <c r="D13" s="108">
        <v>8000</v>
      </c>
      <c r="E13" s="103"/>
      <c r="F13" s="146"/>
      <c r="G13" s="147">
        <f t="shared" si="0"/>
        <v>8000</v>
      </c>
      <c r="H13" s="204"/>
      <c r="K13" s="151"/>
      <c r="L13" s="150"/>
    </row>
    <row r="14" spans="1:12" x14ac:dyDescent="0.3">
      <c r="A14" s="192"/>
      <c r="B14" s="107">
        <v>8</v>
      </c>
      <c r="C14" s="234" t="s">
        <v>536</v>
      </c>
      <c r="D14" s="108">
        <v>8000</v>
      </c>
      <c r="E14" s="103"/>
      <c r="F14" s="146"/>
      <c r="G14" s="147">
        <f t="shared" si="0"/>
        <v>8000</v>
      </c>
      <c r="H14" s="204"/>
      <c r="K14" s="151"/>
      <c r="L14" s="150"/>
    </row>
    <row r="15" spans="1:12" x14ac:dyDescent="0.3">
      <c r="A15" s="192"/>
      <c r="B15" s="107">
        <v>9</v>
      </c>
      <c r="C15" s="235" t="s">
        <v>533</v>
      </c>
      <c r="D15" s="108">
        <v>8000</v>
      </c>
      <c r="E15" s="190"/>
      <c r="F15" s="146"/>
      <c r="G15" s="147">
        <f t="shared" si="0"/>
        <v>8000</v>
      </c>
      <c r="H15" s="204"/>
      <c r="K15" s="151"/>
      <c r="L15" s="150"/>
    </row>
    <row r="16" spans="1:12" x14ac:dyDescent="0.3">
      <c r="A16" s="192"/>
      <c r="B16" s="107">
        <v>10</v>
      </c>
      <c r="C16" s="235" t="s">
        <v>73</v>
      </c>
      <c r="D16" s="108">
        <v>8000</v>
      </c>
      <c r="E16" s="190"/>
      <c r="F16" s="146"/>
      <c r="G16" s="147">
        <f>D16-E16</f>
        <v>8000</v>
      </c>
      <c r="H16" s="204"/>
      <c r="K16" s="151"/>
      <c r="L16" s="150"/>
    </row>
    <row r="17" spans="1:12" x14ac:dyDescent="0.3">
      <c r="A17" s="192" t="s">
        <v>1492</v>
      </c>
      <c r="B17" s="107" t="s">
        <v>1550</v>
      </c>
      <c r="C17" s="235" t="s">
        <v>541</v>
      </c>
      <c r="D17" s="108">
        <v>8000</v>
      </c>
      <c r="E17" s="108">
        <v>8000</v>
      </c>
      <c r="F17" s="101"/>
      <c r="G17" s="147">
        <f>D17-E17</f>
        <v>0</v>
      </c>
      <c r="H17" s="204"/>
      <c r="K17" s="151"/>
      <c r="L17" s="150"/>
    </row>
    <row r="18" spans="1:12" x14ac:dyDescent="0.3">
      <c r="A18" s="192"/>
      <c r="B18" s="107">
        <v>12</v>
      </c>
      <c r="C18" s="235" t="s">
        <v>542</v>
      </c>
      <c r="D18" s="108">
        <v>8000</v>
      </c>
      <c r="E18" s="190"/>
      <c r="F18" s="146"/>
      <c r="G18" s="147">
        <f t="shared" si="0"/>
        <v>8000</v>
      </c>
      <c r="H18" s="204"/>
      <c r="K18" s="151"/>
      <c r="L18" s="150"/>
    </row>
    <row r="19" spans="1:12" x14ac:dyDescent="0.3">
      <c r="A19" s="192"/>
      <c r="B19" s="107">
        <v>13</v>
      </c>
      <c r="C19" s="235" t="s">
        <v>543</v>
      </c>
      <c r="D19" s="108">
        <v>8000</v>
      </c>
      <c r="E19" s="190"/>
      <c r="F19" s="146"/>
      <c r="G19" s="147">
        <f t="shared" si="0"/>
        <v>8000</v>
      </c>
      <c r="H19" s="204"/>
      <c r="K19" s="151"/>
      <c r="L19" s="150"/>
    </row>
    <row r="20" spans="1:12" x14ac:dyDescent="0.3">
      <c r="A20" s="192"/>
      <c r="B20" s="107">
        <v>14</v>
      </c>
      <c r="C20" s="235" t="s">
        <v>70</v>
      </c>
      <c r="D20" s="108">
        <v>8000</v>
      </c>
      <c r="E20" s="190"/>
      <c r="F20" s="146"/>
      <c r="G20" s="147">
        <f t="shared" si="0"/>
        <v>8000</v>
      </c>
      <c r="H20" s="204"/>
      <c r="K20" s="151"/>
      <c r="L20" s="150"/>
    </row>
    <row r="21" spans="1:12" x14ac:dyDescent="0.3">
      <c r="A21" s="192"/>
      <c r="B21" s="107">
        <v>15</v>
      </c>
      <c r="C21" s="235" t="s">
        <v>97</v>
      </c>
      <c r="D21" s="108">
        <v>8000</v>
      </c>
      <c r="E21" s="190"/>
      <c r="F21" s="146"/>
      <c r="G21" s="147">
        <f t="shared" si="0"/>
        <v>8000</v>
      </c>
      <c r="H21" s="204"/>
      <c r="K21" s="151"/>
      <c r="L21" s="150"/>
    </row>
    <row r="22" spans="1:12" x14ac:dyDescent="0.3">
      <c r="A22" s="192"/>
      <c r="B22" s="107">
        <v>16</v>
      </c>
      <c r="C22" s="235" t="s">
        <v>76</v>
      </c>
      <c r="D22" s="108">
        <v>8000</v>
      </c>
      <c r="E22" s="190"/>
      <c r="F22" s="146"/>
      <c r="G22" s="147">
        <f t="shared" si="0"/>
        <v>8000</v>
      </c>
      <c r="H22" s="204"/>
      <c r="K22" s="151"/>
      <c r="L22" s="150"/>
    </row>
    <row r="23" spans="1:12" x14ac:dyDescent="0.3">
      <c r="A23" s="192"/>
      <c r="B23" s="107">
        <v>17</v>
      </c>
      <c r="C23" s="235" t="s">
        <v>434</v>
      </c>
      <c r="D23" s="108">
        <v>8000</v>
      </c>
      <c r="E23" s="190"/>
      <c r="F23" s="146"/>
      <c r="G23" s="147">
        <f t="shared" si="0"/>
        <v>8000</v>
      </c>
      <c r="H23" s="204"/>
      <c r="K23" s="151"/>
      <c r="L23" s="150"/>
    </row>
    <row r="24" spans="1:12" x14ac:dyDescent="0.3">
      <c r="A24" s="192"/>
      <c r="B24" s="107">
        <v>18</v>
      </c>
      <c r="C24" s="235" t="s">
        <v>133</v>
      </c>
      <c r="D24" s="108">
        <v>8000</v>
      </c>
      <c r="E24" s="190"/>
      <c r="F24" s="146"/>
      <c r="G24" s="147">
        <f t="shared" si="0"/>
        <v>8000</v>
      </c>
      <c r="H24" s="204"/>
      <c r="K24" s="151"/>
      <c r="L24" s="150"/>
    </row>
    <row r="25" spans="1:12" x14ac:dyDescent="0.3">
      <c r="A25" s="192"/>
      <c r="B25" s="107">
        <v>19</v>
      </c>
      <c r="C25" s="235" t="s">
        <v>452</v>
      </c>
      <c r="D25" s="108">
        <v>8000</v>
      </c>
      <c r="E25" s="190"/>
      <c r="F25" s="146"/>
      <c r="G25" s="147">
        <f t="shared" si="0"/>
        <v>8000</v>
      </c>
      <c r="H25" s="204"/>
      <c r="K25" s="151"/>
      <c r="L25" s="150"/>
    </row>
    <row r="26" spans="1:12" x14ac:dyDescent="0.3">
      <c r="A26" s="192"/>
      <c r="B26" s="107">
        <v>20</v>
      </c>
      <c r="C26" s="235" t="s">
        <v>453</v>
      </c>
      <c r="D26" s="108">
        <v>8000</v>
      </c>
      <c r="E26" s="190"/>
      <c r="F26" s="146"/>
      <c r="G26" s="147">
        <f t="shared" si="0"/>
        <v>8000</v>
      </c>
      <c r="H26" s="204"/>
      <c r="K26" s="151"/>
      <c r="L26" s="150"/>
    </row>
    <row r="27" spans="1:12" x14ac:dyDescent="0.3">
      <c r="A27" s="192"/>
      <c r="B27" s="107">
        <v>21</v>
      </c>
      <c r="C27" s="235" t="s">
        <v>1301</v>
      </c>
      <c r="D27" s="108">
        <v>8000</v>
      </c>
      <c r="E27" s="190"/>
      <c r="F27" s="146"/>
      <c r="G27" s="147">
        <f t="shared" si="0"/>
        <v>8000</v>
      </c>
      <c r="H27" s="204"/>
      <c r="K27" s="151"/>
      <c r="L27" s="150"/>
    </row>
    <row r="28" spans="1:12" x14ac:dyDescent="0.3">
      <c r="A28" s="192"/>
      <c r="B28" s="107">
        <v>22</v>
      </c>
      <c r="C28" s="235" t="s">
        <v>435</v>
      </c>
      <c r="D28" s="108">
        <v>8000</v>
      </c>
      <c r="E28" s="190"/>
      <c r="F28" s="146"/>
      <c r="G28" s="147">
        <f t="shared" si="0"/>
        <v>8000</v>
      </c>
      <c r="H28" s="204"/>
      <c r="K28" s="151"/>
      <c r="L28" s="150"/>
    </row>
    <row r="29" spans="1:12" x14ac:dyDescent="0.3">
      <c r="A29" s="192"/>
      <c r="B29" s="107">
        <v>23</v>
      </c>
      <c r="C29" s="235" t="s">
        <v>425</v>
      </c>
      <c r="D29" s="108">
        <v>8000</v>
      </c>
      <c r="E29" s="190"/>
      <c r="F29" s="146"/>
      <c r="G29" s="147">
        <f t="shared" si="0"/>
        <v>8000</v>
      </c>
      <c r="H29" s="204"/>
      <c r="K29" s="151"/>
      <c r="L29" s="150"/>
    </row>
    <row r="30" spans="1:12" x14ac:dyDescent="0.3">
      <c r="A30" s="192"/>
      <c r="B30" s="107">
        <v>24</v>
      </c>
      <c r="C30" s="235" t="s">
        <v>80</v>
      </c>
      <c r="D30" s="108">
        <v>8000</v>
      </c>
      <c r="E30" s="190"/>
      <c r="F30" s="146"/>
      <c r="G30" s="147">
        <f t="shared" si="0"/>
        <v>8000</v>
      </c>
      <c r="H30" s="204"/>
      <c r="K30" s="151"/>
      <c r="L30" s="150"/>
    </row>
    <row r="31" spans="1:12" x14ac:dyDescent="0.3">
      <c r="A31" s="192"/>
      <c r="B31" s="107">
        <v>25</v>
      </c>
      <c r="C31" s="235" t="s">
        <v>419</v>
      </c>
      <c r="D31" s="108">
        <v>8000</v>
      </c>
      <c r="E31" s="190"/>
      <c r="F31" s="146"/>
      <c r="G31" s="147">
        <f t="shared" si="0"/>
        <v>8000</v>
      </c>
      <c r="H31" s="204"/>
      <c r="K31" s="151"/>
      <c r="L31" s="150"/>
    </row>
    <row r="32" spans="1:12" x14ac:dyDescent="0.3">
      <c r="A32" s="192"/>
      <c r="B32" s="107">
        <v>26</v>
      </c>
      <c r="C32" s="235" t="s">
        <v>438</v>
      </c>
      <c r="D32" s="108">
        <v>8000</v>
      </c>
      <c r="E32" s="190"/>
      <c r="F32" s="146"/>
      <c r="G32" s="147">
        <f t="shared" si="0"/>
        <v>8000</v>
      </c>
      <c r="H32" s="204"/>
      <c r="K32" s="151"/>
      <c r="L32" s="150"/>
    </row>
    <row r="33" spans="1:12" x14ac:dyDescent="0.3">
      <c r="A33" s="192"/>
      <c r="B33" s="107">
        <v>27</v>
      </c>
      <c r="C33" s="235" t="s">
        <v>90</v>
      </c>
      <c r="D33" s="108">
        <v>8000</v>
      </c>
      <c r="E33" s="190"/>
      <c r="F33" s="146"/>
      <c r="G33" s="147">
        <f t="shared" si="0"/>
        <v>8000</v>
      </c>
      <c r="H33" s="204"/>
      <c r="K33" s="151"/>
      <c r="L33" s="150"/>
    </row>
    <row r="34" spans="1:12" x14ac:dyDescent="0.3">
      <c r="A34" s="192"/>
      <c r="B34" s="107">
        <v>28</v>
      </c>
      <c r="C34" s="235" t="s">
        <v>421</v>
      </c>
      <c r="D34" s="108">
        <v>8000</v>
      </c>
      <c r="E34" s="190"/>
      <c r="F34" s="146"/>
      <c r="G34" s="147">
        <f t="shared" si="0"/>
        <v>8000</v>
      </c>
      <c r="H34" s="204"/>
      <c r="K34" s="151"/>
      <c r="L34" s="150"/>
    </row>
    <row r="35" spans="1:12" x14ac:dyDescent="0.3">
      <c r="A35" s="192"/>
      <c r="B35" s="107">
        <v>29</v>
      </c>
      <c r="C35" s="235" t="s">
        <v>98</v>
      </c>
      <c r="D35" s="108">
        <v>8000</v>
      </c>
      <c r="E35" s="190"/>
      <c r="F35" s="146"/>
      <c r="G35" s="147">
        <f t="shared" si="0"/>
        <v>8000</v>
      </c>
      <c r="H35" s="204"/>
      <c r="K35" s="151"/>
      <c r="L35" s="150"/>
    </row>
    <row r="36" spans="1:12" x14ac:dyDescent="0.3">
      <c r="A36" s="192"/>
      <c r="B36" s="107">
        <v>30</v>
      </c>
      <c r="C36" s="235" t="s">
        <v>65</v>
      </c>
      <c r="D36" s="108">
        <v>8000</v>
      </c>
      <c r="E36" s="190"/>
      <c r="F36" s="146"/>
      <c r="G36" s="147">
        <f t="shared" si="0"/>
        <v>8000</v>
      </c>
      <c r="H36" s="204"/>
      <c r="K36" s="151"/>
      <c r="L36" s="150"/>
    </row>
    <row r="37" spans="1:12" x14ac:dyDescent="0.3">
      <c r="A37" s="192"/>
      <c r="B37" s="107">
        <v>31</v>
      </c>
      <c r="C37" s="235" t="s">
        <v>67</v>
      </c>
      <c r="D37" s="108">
        <v>8000</v>
      </c>
      <c r="E37" s="190"/>
      <c r="F37" s="146"/>
      <c r="G37" s="147">
        <f t="shared" si="0"/>
        <v>8000</v>
      </c>
      <c r="H37" s="204"/>
      <c r="K37" s="151"/>
      <c r="L37" s="150"/>
    </row>
    <row r="38" spans="1:12" x14ac:dyDescent="0.3">
      <c r="A38" s="192"/>
      <c r="B38" s="107">
        <v>32</v>
      </c>
      <c r="C38" s="235" t="s">
        <v>1302</v>
      </c>
      <c r="D38" s="108">
        <v>8000</v>
      </c>
      <c r="E38" s="190"/>
      <c r="F38" s="146"/>
      <c r="G38" s="147">
        <f t="shared" si="0"/>
        <v>8000</v>
      </c>
      <c r="H38" s="204"/>
      <c r="K38" s="151"/>
      <c r="L38" s="150"/>
    </row>
    <row r="39" spans="1:12" x14ac:dyDescent="0.3">
      <c r="A39" s="192"/>
      <c r="B39" s="107">
        <v>33</v>
      </c>
      <c r="C39" s="235" t="s">
        <v>91</v>
      </c>
      <c r="D39" s="108">
        <v>8000</v>
      </c>
      <c r="E39" s="190"/>
      <c r="F39" s="146"/>
      <c r="G39" s="147">
        <f t="shared" si="0"/>
        <v>8000</v>
      </c>
      <c r="H39" s="204"/>
      <c r="K39" s="151"/>
      <c r="L39" s="150"/>
    </row>
    <row r="40" spans="1:12" x14ac:dyDescent="0.3">
      <c r="A40" s="192"/>
      <c r="B40" s="107">
        <v>34</v>
      </c>
      <c r="C40" s="235" t="s">
        <v>449</v>
      </c>
      <c r="D40" s="108">
        <v>8000</v>
      </c>
      <c r="E40" s="190"/>
      <c r="F40" s="146"/>
      <c r="G40" s="147">
        <f t="shared" si="0"/>
        <v>8000</v>
      </c>
      <c r="H40" s="204"/>
      <c r="K40" s="151"/>
      <c r="L40" s="150"/>
    </row>
    <row r="41" spans="1:12" x14ac:dyDescent="0.3">
      <c r="A41" s="192"/>
      <c r="B41" s="107">
        <v>35</v>
      </c>
      <c r="C41" s="235" t="s">
        <v>430</v>
      </c>
      <c r="D41" s="108">
        <v>8000</v>
      </c>
      <c r="E41" s="190"/>
      <c r="F41" s="146"/>
      <c r="G41" s="147">
        <f t="shared" si="0"/>
        <v>8000</v>
      </c>
      <c r="H41" s="204"/>
      <c r="K41" s="151"/>
      <c r="L41" s="150"/>
    </row>
    <row r="42" spans="1:12" x14ac:dyDescent="0.3">
      <c r="A42" s="192"/>
      <c r="B42" s="107">
        <v>36</v>
      </c>
      <c r="C42" s="235" t="s">
        <v>81</v>
      </c>
      <c r="D42" s="108">
        <v>8000</v>
      </c>
      <c r="E42" s="190"/>
      <c r="F42" s="146"/>
      <c r="G42" s="147">
        <f t="shared" si="0"/>
        <v>8000</v>
      </c>
      <c r="H42" s="204"/>
      <c r="K42" s="151"/>
      <c r="L42" s="150"/>
    </row>
    <row r="43" spans="1:12" x14ac:dyDescent="0.3">
      <c r="A43" s="192"/>
      <c r="B43" s="107">
        <v>37</v>
      </c>
      <c r="C43" s="235" t="s">
        <v>433</v>
      </c>
      <c r="D43" s="108">
        <v>8000</v>
      </c>
      <c r="E43" s="190"/>
      <c r="F43" s="146"/>
      <c r="G43" s="147">
        <f t="shared" si="0"/>
        <v>8000</v>
      </c>
      <c r="H43" s="204"/>
      <c r="K43" s="151"/>
      <c r="L43" s="150"/>
    </row>
    <row r="44" spans="1:12" x14ac:dyDescent="0.3">
      <c r="A44" s="192"/>
      <c r="B44" s="107">
        <v>38</v>
      </c>
      <c r="C44" s="235" t="s">
        <v>432</v>
      </c>
      <c r="D44" s="108">
        <v>8000</v>
      </c>
      <c r="E44" s="190"/>
      <c r="F44" s="146"/>
      <c r="G44" s="147">
        <f t="shared" si="0"/>
        <v>8000</v>
      </c>
      <c r="H44" s="204"/>
      <c r="K44" s="151"/>
      <c r="L44" s="150"/>
    </row>
    <row r="45" spans="1:12" x14ac:dyDescent="0.3">
      <c r="A45" s="192"/>
      <c r="B45" s="107">
        <v>39</v>
      </c>
      <c r="C45" s="235" t="s">
        <v>45</v>
      </c>
      <c r="D45" s="108">
        <v>8000</v>
      </c>
      <c r="E45" s="190"/>
      <c r="F45" s="146"/>
      <c r="G45" s="147">
        <f t="shared" si="0"/>
        <v>8000</v>
      </c>
      <c r="H45" s="204"/>
      <c r="K45" s="151"/>
      <c r="L45" s="150"/>
    </row>
    <row r="46" spans="1:12" x14ac:dyDescent="0.3">
      <c r="A46" s="192"/>
      <c r="B46" s="107">
        <v>40</v>
      </c>
      <c r="C46" s="235" t="s">
        <v>431</v>
      </c>
      <c r="D46" s="108">
        <v>8000</v>
      </c>
      <c r="E46" s="190"/>
      <c r="F46" s="146"/>
      <c r="G46" s="147">
        <f t="shared" si="0"/>
        <v>8000</v>
      </c>
      <c r="H46" s="204"/>
      <c r="K46" s="151"/>
      <c r="L46" s="150"/>
    </row>
    <row r="47" spans="1:12" x14ac:dyDescent="0.3">
      <c r="A47" s="192"/>
      <c r="B47" s="107">
        <v>41</v>
      </c>
      <c r="C47" s="235" t="s">
        <v>1303</v>
      </c>
      <c r="D47" s="108">
        <v>8000</v>
      </c>
      <c r="E47" s="190"/>
      <c r="F47" s="146"/>
      <c r="G47" s="147">
        <f t="shared" si="0"/>
        <v>8000</v>
      </c>
      <c r="H47" s="204"/>
      <c r="K47" s="151"/>
      <c r="L47" s="150"/>
    </row>
    <row r="48" spans="1:12" x14ac:dyDescent="0.3">
      <c r="A48" s="192"/>
      <c r="B48" s="107">
        <v>42</v>
      </c>
      <c r="C48" s="235" t="s">
        <v>456</v>
      </c>
      <c r="D48" s="108">
        <v>8000</v>
      </c>
      <c r="E48" s="190"/>
      <c r="F48" s="146"/>
      <c r="G48" s="147">
        <f t="shared" si="0"/>
        <v>8000</v>
      </c>
      <c r="H48" s="204"/>
      <c r="K48" s="151"/>
      <c r="L48" s="150"/>
    </row>
    <row r="49" spans="1:12" x14ac:dyDescent="0.3">
      <c r="A49" s="192"/>
      <c r="B49" s="107">
        <v>43</v>
      </c>
      <c r="C49" s="235" t="s">
        <v>36</v>
      </c>
      <c r="D49" s="108">
        <v>8000</v>
      </c>
      <c r="E49" s="190"/>
      <c r="F49" s="146"/>
      <c r="G49" s="147">
        <f t="shared" si="0"/>
        <v>8000</v>
      </c>
      <c r="H49" s="204"/>
      <c r="K49" s="151"/>
      <c r="L49" s="150"/>
    </row>
    <row r="50" spans="1:12" x14ac:dyDescent="0.3">
      <c r="A50" s="192"/>
      <c r="B50" s="107">
        <v>44</v>
      </c>
      <c r="C50" s="235" t="s">
        <v>458</v>
      </c>
      <c r="D50" s="108">
        <v>8000</v>
      </c>
      <c r="E50" s="190"/>
      <c r="F50" s="146"/>
      <c r="G50" s="147">
        <f t="shared" si="0"/>
        <v>8000</v>
      </c>
      <c r="H50" s="204"/>
      <c r="K50" s="151"/>
      <c r="L50" s="150"/>
    </row>
    <row r="51" spans="1:12" x14ac:dyDescent="0.3">
      <c r="A51" s="192"/>
      <c r="B51" s="107">
        <v>45</v>
      </c>
      <c r="C51" s="235" t="s">
        <v>82</v>
      </c>
      <c r="D51" s="108">
        <v>8000</v>
      </c>
      <c r="E51" s="190"/>
      <c r="F51" s="146"/>
      <c r="G51" s="147">
        <f t="shared" si="0"/>
        <v>8000</v>
      </c>
      <c r="H51" s="204"/>
      <c r="K51" s="151"/>
      <c r="L51" s="150"/>
    </row>
    <row r="52" spans="1:12" x14ac:dyDescent="0.3">
      <c r="A52" s="192"/>
      <c r="B52" s="107">
        <v>46</v>
      </c>
      <c r="C52" s="235" t="s">
        <v>61</v>
      </c>
      <c r="D52" s="108">
        <v>8000</v>
      </c>
      <c r="E52" s="190"/>
      <c r="F52" s="146"/>
      <c r="G52" s="147">
        <f t="shared" si="0"/>
        <v>8000</v>
      </c>
      <c r="H52" s="204"/>
      <c r="K52" s="151"/>
      <c r="L52" s="150"/>
    </row>
    <row r="53" spans="1:12" x14ac:dyDescent="0.3">
      <c r="A53" s="192"/>
      <c r="B53" s="107">
        <v>47</v>
      </c>
      <c r="C53" s="235" t="s">
        <v>474</v>
      </c>
      <c r="D53" s="108">
        <v>8000</v>
      </c>
      <c r="E53" s="190"/>
      <c r="F53" s="146"/>
      <c r="G53" s="147">
        <f t="shared" si="0"/>
        <v>8000</v>
      </c>
      <c r="H53" s="204"/>
      <c r="K53" s="151"/>
      <c r="L53" s="150"/>
    </row>
    <row r="54" spans="1:12" x14ac:dyDescent="0.3">
      <c r="A54" s="192"/>
      <c r="B54" s="107">
        <v>48</v>
      </c>
      <c r="C54" s="235" t="s">
        <v>83</v>
      </c>
      <c r="D54" s="108">
        <v>8000</v>
      </c>
      <c r="E54" s="190"/>
      <c r="F54" s="146"/>
      <c r="G54" s="147">
        <f t="shared" si="0"/>
        <v>8000</v>
      </c>
      <c r="H54" s="204"/>
      <c r="K54" s="151"/>
      <c r="L54" s="150"/>
    </row>
    <row r="55" spans="1:12" x14ac:dyDescent="0.3">
      <c r="A55" s="192"/>
      <c r="B55" s="107">
        <v>49</v>
      </c>
      <c r="C55" s="235" t="s">
        <v>1304</v>
      </c>
      <c r="D55" s="108">
        <v>8000</v>
      </c>
      <c r="E55" s="190"/>
      <c r="F55" s="146"/>
      <c r="G55" s="147">
        <f t="shared" si="0"/>
        <v>8000</v>
      </c>
      <c r="H55" s="204"/>
      <c r="K55" s="151"/>
      <c r="L55" s="150"/>
    </row>
    <row r="56" spans="1:12" x14ac:dyDescent="0.3">
      <c r="A56" s="192"/>
      <c r="B56" s="107">
        <v>50</v>
      </c>
      <c r="C56" s="235" t="s">
        <v>459</v>
      </c>
      <c r="D56" s="108">
        <v>8000</v>
      </c>
      <c r="E56" s="190"/>
      <c r="F56" s="146"/>
      <c r="G56" s="147">
        <f t="shared" si="0"/>
        <v>8000</v>
      </c>
      <c r="H56" s="204"/>
      <c r="K56" s="151"/>
      <c r="L56" s="150"/>
    </row>
    <row r="57" spans="1:12" x14ac:dyDescent="0.3">
      <c r="A57" s="192"/>
      <c r="B57" s="107">
        <v>51</v>
      </c>
      <c r="C57" s="235" t="s">
        <v>93</v>
      </c>
      <c r="D57" s="108">
        <v>8000</v>
      </c>
      <c r="E57" s="190"/>
      <c r="F57" s="146"/>
      <c r="G57" s="147">
        <f t="shared" si="0"/>
        <v>8000</v>
      </c>
      <c r="H57" s="204"/>
      <c r="K57" s="151"/>
      <c r="L57" s="150"/>
    </row>
    <row r="58" spans="1:12" x14ac:dyDescent="0.3">
      <c r="A58" s="192"/>
      <c r="B58" s="107">
        <v>52</v>
      </c>
      <c r="C58" s="235" t="s">
        <v>463</v>
      </c>
      <c r="D58" s="108">
        <v>8000</v>
      </c>
      <c r="E58" s="190"/>
      <c r="F58" s="146"/>
      <c r="G58" s="147">
        <f t="shared" si="0"/>
        <v>8000</v>
      </c>
      <c r="H58" s="204"/>
      <c r="K58" s="151"/>
      <c r="L58" s="150"/>
    </row>
    <row r="59" spans="1:12" x14ac:dyDescent="0.3">
      <c r="A59" s="192"/>
      <c r="B59" s="107">
        <v>53</v>
      </c>
      <c r="C59" s="235" t="s">
        <v>478</v>
      </c>
      <c r="D59" s="108">
        <v>8000</v>
      </c>
      <c r="E59" s="190"/>
      <c r="F59" s="146"/>
      <c r="G59" s="147">
        <f t="shared" si="0"/>
        <v>8000</v>
      </c>
      <c r="H59" s="204"/>
      <c r="K59" s="151"/>
      <c r="L59" s="150"/>
    </row>
    <row r="60" spans="1:12" x14ac:dyDescent="0.3">
      <c r="A60" s="192"/>
      <c r="B60" s="107">
        <v>54</v>
      </c>
      <c r="C60" s="235" t="s">
        <v>49</v>
      </c>
      <c r="D60" s="108">
        <v>8000</v>
      </c>
      <c r="E60" s="190"/>
      <c r="F60" s="146"/>
      <c r="G60" s="147">
        <f t="shared" si="0"/>
        <v>8000</v>
      </c>
      <c r="H60" s="204"/>
      <c r="K60" s="151"/>
      <c r="L60" s="150"/>
    </row>
    <row r="61" spans="1:12" x14ac:dyDescent="0.3">
      <c r="A61" s="192"/>
      <c r="B61" s="107">
        <v>55</v>
      </c>
      <c r="C61" s="235" t="s">
        <v>1305</v>
      </c>
      <c r="D61" s="108">
        <v>8000</v>
      </c>
      <c r="E61" s="190"/>
      <c r="F61" s="146"/>
      <c r="G61" s="147">
        <f t="shared" si="0"/>
        <v>8000</v>
      </c>
      <c r="H61" s="204"/>
      <c r="K61" s="151"/>
      <c r="L61" s="150"/>
    </row>
    <row r="62" spans="1:12" x14ac:dyDescent="0.3">
      <c r="A62" s="192"/>
      <c r="B62" s="107">
        <v>56</v>
      </c>
      <c r="C62" s="235" t="s">
        <v>521</v>
      </c>
      <c r="D62" s="108">
        <v>8000</v>
      </c>
      <c r="E62" s="190"/>
      <c r="F62" s="146"/>
      <c r="G62" s="147">
        <f t="shared" si="0"/>
        <v>8000</v>
      </c>
      <c r="H62" s="204"/>
      <c r="K62" s="151"/>
      <c r="L62" s="150"/>
    </row>
    <row r="63" spans="1:12" x14ac:dyDescent="0.3">
      <c r="A63" s="192"/>
      <c r="B63" s="107">
        <v>57</v>
      </c>
      <c r="C63" s="235" t="s">
        <v>514</v>
      </c>
      <c r="D63" s="108">
        <v>8000</v>
      </c>
      <c r="E63" s="190"/>
      <c r="F63" s="146"/>
      <c r="G63" s="147">
        <f t="shared" si="0"/>
        <v>8000</v>
      </c>
      <c r="H63" s="204"/>
      <c r="K63" s="151"/>
      <c r="L63" s="150"/>
    </row>
    <row r="64" spans="1:12" x14ac:dyDescent="0.3">
      <c r="A64" s="192"/>
      <c r="B64" s="107">
        <v>58</v>
      </c>
      <c r="C64" s="235" t="s">
        <v>87</v>
      </c>
      <c r="D64" s="108">
        <v>8000</v>
      </c>
      <c r="E64" s="190"/>
      <c r="F64" s="146"/>
      <c r="G64" s="147">
        <f t="shared" si="0"/>
        <v>8000</v>
      </c>
      <c r="H64" s="204"/>
      <c r="K64" s="151"/>
      <c r="L64" s="150"/>
    </row>
    <row r="65" spans="1:15" x14ac:dyDescent="0.3">
      <c r="A65" s="192"/>
      <c r="B65" s="107">
        <v>59</v>
      </c>
      <c r="C65" s="235" t="s">
        <v>96</v>
      </c>
      <c r="D65" s="108">
        <v>8000</v>
      </c>
      <c r="E65" s="190"/>
      <c r="F65" s="146"/>
      <c r="G65" s="147">
        <f t="shared" si="0"/>
        <v>8000</v>
      </c>
      <c r="H65" s="204"/>
      <c r="K65" s="151"/>
      <c r="L65" s="150"/>
    </row>
    <row r="66" spans="1:15" x14ac:dyDescent="0.3">
      <c r="A66" s="192"/>
      <c r="B66" s="107">
        <v>60</v>
      </c>
      <c r="C66" s="235" t="s">
        <v>489</v>
      </c>
      <c r="D66" s="108">
        <v>8000</v>
      </c>
      <c r="E66" s="190"/>
      <c r="F66" s="146"/>
      <c r="G66" s="147">
        <f t="shared" si="0"/>
        <v>8000</v>
      </c>
      <c r="H66" s="204"/>
      <c r="K66" s="151"/>
      <c r="L66" s="150"/>
    </row>
    <row r="67" spans="1:15" x14ac:dyDescent="0.3">
      <c r="A67" s="192"/>
      <c r="B67" s="107">
        <v>61</v>
      </c>
      <c r="C67" s="235" t="s">
        <v>1306</v>
      </c>
      <c r="D67" s="108">
        <v>8000</v>
      </c>
      <c r="E67" s="190"/>
      <c r="F67" s="146"/>
      <c r="G67" s="147">
        <f t="shared" si="0"/>
        <v>8000</v>
      </c>
      <c r="H67" s="204"/>
      <c r="K67" s="151"/>
      <c r="L67" s="150"/>
    </row>
    <row r="68" spans="1:15" x14ac:dyDescent="0.3">
      <c r="A68" s="192"/>
      <c r="B68" s="107">
        <v>62</v>
      </c>
      <c r="C68" s="235" t="s">
        <v>490</v>
      </c>
      <c r="D68" s="108">
        <v>8000</v>
      </c>
      <c r="E68" s="190"/>
      <c r="F68" s="146"/>
      <c r="G68" s="147">
        <f t="shared" si="0"/>
        <v>8000</v>
      </c>
      <c r="H68" s="204"/>
      <c r="K68" s="151"/>
      <c r="L68" s="150"/>
    </row>
    <row r="69" spans="1:15" x14ac:dyDescent="0.3">
      <c r="A69" s="192"/>
      <c r="B69" s="107">
        <v>63</v>
      </c>
      <c r="C69" s="235" t="s">
        <v>492</v>
      </c>
      <c r="D69" s="108">
        <v>8000</v>
      </c>
      <c r="E69" s="190"/>
      <c r="F69" s="146"/>
      <c r="G69" s="147">
        <f t="shared" si="0"/>
        <v>8000</v>
      </c>
      <c r="H69" s="204"/>
      <c r="K69" s="151"/>
      <c r="L69" s="150"/>
    </row>
    <row r="70" spans="1:15" x14ac:dyDescent="0.3">
      <c r="A70" s="192"/>
      <c r="B70" s="107">
        <v>64</v>
      </c>
      <c r="C70" s="235" t="s">
        <v>62</v>
      </c>
      <c r="D70" s="108">
        <v>8000</v>
      </c>
      <c r="E70" s="190"/>
      <c r="F70" s="146"/>
      <c r="G70" s="147">
        <f t="shared" si="0"/>
        <v>8000</v>
      </c>
      <c r="H70" s="204"/>
      <c r="K70" s="151"/>
      <c r="L70" s="150"/>
    </row>
    <row r="71" spans="1:15" x14ac:dyDescent="0.3">
      <c r="A71" s="192"/>
      <c r="B71" s="107">
        <v>65</v>
      </c>
      <c r="C71" s="235" t="s">
        <v>498</v>
      </c>
      <c r="D71" s="108">
        <v>8000</v>
      </c>
      <c r="E71" s="190"/>
      <c r="F71" s="146"/>
      <c r="G71" s="147">
        <f t="shared" si="0"/>
        <v>8000</v>
      </c>
      <c r="H71" s="204"/>
      <c r="K71" s="151"/>
      <c r="L71" s="150"/>
    </row>
    <row r="72" spans="1:15" x14ac:dyDescent="0.3">
      <c r="A72" s="192"/>
      <c r="B72" s="107">
        <v>66</v>
      </c>
      <c r="C72" s="235" t="s">
        <v>516</v>
      </c>
      <c r="D72" s="108">
        <v>8000</v>
      </c>
      <c r="E72" s="190"/>
      <c r="F72" s="146"/>
      <c r="G72" s="147">
        <f>D73-E73</f>
        <v>8000</v>
      </c>
      <c r="H72" s="204"/>
      <c r="K72" s="151"/>
      <c r="L72" s="150"/>
    </row>
    <row r="73" spans="1:15" x14ac:dyDescent="0.3">
      <c r="A73" s="192"/>
      <c r="B73" s="107">
        <v>67</v>
      </c>
      <c r="C73" s="235" t="s">
        <v>524</v>
      </c>
      <c r="D73" s="108">
        <v>8000</v>
      </c>
      <c r="E73" s="190"/>
      <c r="F73" s="146"/>
      <c r="G73" s="147">
        <f>D74-E74</f>
        <v>8000</v>
      </c>
      <c r="H73" s="204"/>
      <c r="K73" s="151"/>
      <c r="L73" s="150"/>
    </row>
    <row r="74" spans="1:15" x14ac:dyDescent="0.3">
      <c r="A74" s="192"/>
      <c r="B74" s="107">
        <v>68</v>
      </c>
      <c r="C74" s="235" t="s">
        <v>1307</v>
      </c>
      <c r="D74" s="108">
        <v>8000</v>
      </c>
      <c r="E74" s="190"/>
      <c r="F74" s="146"/>
      <c r="G74" s="147">
        <f>D74-E74</f>
        <v>8000</v>
      </c>
      <c r="H74" s="204"/>
      <c r="K74" s="151"/>
      <c r="L74" s="150"/>
    </row>
    <row r="75" spans="1:15" ht="19.5" thickBot="1" x14ac:dyDescent="0.35">
      <c r="A75" s="118"/>
      <c r="B75" s="155"/>
      <c r="C75" s="236" t="s">
        <v>102</v>
      </c>
      <c r="D75" s="182">
        <f>SUM(D7:D74)</f>
        <v>544000</v>
      </c>
      <c r="E75" s="182">
        <f>SUM(E6:E74)</f>
        <v>8000</v>
      </c>
      <c r="F75" s="182">
        <f>SUM(F6:F74)</f>
        <v>0</v>
      </c>
      <c r="G75" s="173">
        <f>D75-E75-F75</f>
        <v>536000</v>
      </c>
      <c r="H75" s="104"/>
      <c r="K75" s="151"/>
      <c r="L75" s="150"/>
    </row>
    <row r="76" spans="1:15" ht="19.5" thickTop="1" x14ac:dyDescent="0.3">
      <c r="D76" s="149"/>
      <c r="F76" s="189"/>
      <c r="G76" s="214"/>
      <c r="J76" s="167"/>
      <c r="K76" s="151"/>
      <c r="L76" s="150"/>
    </row>
    <row r="77" spans="1:15" x14ac:dyDescent="0.3">
      <c r="D77" s="149"/>
      <c r="E77" s="144"/>
      <c r="F77" s="176"/>
      <c r="G77" s="144"/>
      <c r="J77" s="167"/>
    </row>
    <row r="78" spans="1:15" x14ac:dyDescent="0.3">
      <c r="D78" s="149"/>
      <c r="E78" s="144"/>
      <c r="G78" s="144"/>
      <c r="J78" s="144"/>
      <c r="M78" s="144"/>
    </row>
    <row r="79" spans="1:15" x14ac:dyDescent="0.3">
      <c r="C79" s="51"/>
      <c r="E79" s="144"/>
      <c r="G79" s="176"/>
      <c r="M79" s="144"/>
    </row>
    <row r="80" spans="1:15" x14ac:dyDescent="0.3">
      <c r="C80" s="51"/>
      <c r="E80" s="176"/>
      <c r="G80" s="176"/>
      <c r="M80" s="176"/>
      <c r="O80" s="176"/>
    </row>
    <row r="81" spans="2:15" x14ac:dyDescent="0.3">
      <c r="E81" s="151"/>
      <c r="F81" s="144"/>
      <c r="G81" s="176"/>
      <c r="M81" s="144"/>
      <c r="N81" s="144"/>
      <c r="O81" s="176"/>
    </row>
    <row r="82" spans="2:15" x14ac:dyDescent="0.3">
      <c r="B82" s="150"/>
      <c r="C82" s="67"/>
      <c r="D82" s="183"/>
      <c r="E82" s="184"/>
      <c r="G82" s="185"/>
      <c r="O82" s="185"/>
    </row>
    <row r="83" spans="2:15" x14ac:dyDescent="0.3">
      <c r="B83" s="150"/>
      <c r="C83" s="5"/>
      <c r="D83" s="152"/>
      <c r="E83" s="151"/>
    </row>
    <row r="84" spans="2:15" x14ac:dyDescent="0.3">
      <c r="B84" s="150"/>
      <c r="C84" s="5"/>
      <c r="D84" s="152"/>
      <c r="E84" s="151"/>
      <c r="G84" s="144"/>
      <c r="O84" s="144"/>
    </row>
    <row r="85" spans="2:15" x14ac:dyDescent="0.3">
      <c r="B85" s="150"/>
      <c r="C85" s="5"/>
      <c r="D85" s="152"/>
      <c r="E85" s="151"/>
      <c r="G85" s="144"/>
    </row>
    <row r="86" spans="2:15" x14ac:dyDescent="0.3">
      <c r="B86" s="150"/>
      <c r="C86" s="5"/>
      <c r="D86" s="186"/>
      <c r="E86" s="158"/>
    </row>
    <row r="87" spans="2:15" x14ac:dyDescent="0.3">
      <c r="B87" s="150"/>
      <c r="C87" s="5"/>
      <c r="D87" s="150"/>
      <c r="E87" s="151"/>
    </row>
    <row r="88" spans="2:15" x14ac:dyDescent="0.3">
      <c r="B88" s="150"/>
      <c r="C88" s="5"/>
      <c r="D88" s="150"/>
      <c r="E88" s="158"/>
    </row>
  </sheetData>
  <mergeCells count="2">
    <mergeCell ref="A1:H1"/>
    <mergeCell ref="A2:H2"/>
  </mergeCells>
  <pageMargins left="0.2" right="0.15" top="0.15748031496062992" bottom="0.15748031496062992" header="0.15748031496062992" footer="0.1574803149606299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4"/>
  <sheetViews>
    <sheetView workbookViewId="0">
      <selection activeCell="E192" sqref="E192"/>
    </sheetView>
  </sheetViews>
  <sheetFormatPr defaultRowHeight="18.75" x14ac:dyDescent="0.3"/>
  <cols>
    <col min="1" max="1" width="8.140625" style="28" customWidth="1"/>
    <col min="2" max="2" width="7.85546875" style="88" bestFit="1" customWidth="1"/>
    <col min="3" max="3" width="25.42578125" style="1" customWidth="1"/>
    <col min="4" max="4" width="12.7109375" style="88" customWidth="1"/>
    <col min="5" max="5" width="11.140625" style="88" customWidth="1"/>
    <col min="6" max="6" width="8.140625" style="88" customWidth="1"/>
    <col min="7" max="7" width="11.42578125" style="1" customWidth="1"/>
    <col min="8" max="8" width="9.7109375" style="88" customWidth="1"/>
    <col min="9" max="9" width="9.85546875" style="149" bestFit="1" customWidth="1"/>
    <col min="10" max="10" width="9.140625" style="88"/>
    <col min="11" max="11" width="14" style="144" customWidth="1"/>
    <col min="12" max="12" width="11.85546875" style="88" customWidth="1"/>
    <col min="13" max="13" width="11.28515625" style="88" customWidth="1"/>
    <col min="14" max="14" width="11" style="88" customWidth="1"/>
    <col min="15" max="16384" width="9.140625" style="88"/>
  </cols>
  <sheetData>
    <row r="2" spans="1:12" ht="17.25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12" ht="17.25" x14ac:dyDescent="0.3">
      <c r="A3" s="335" t="s">
        <v>1281</v>
      </c>
      <c r="B3" s="335"/>
      <c r="C3" s="335"/>
      <c r="D3" s="335"/>
      <c r="E3" s="335"/>
      <c r="F3" s="335"/>
      <c r="G3" s="335"/>
      <c r="H3" s="335"/>
    </row>
    <row r="4" spans="1:12" x14ac:dyDescent="0.3">
      <c r="A4" s="111" t="s">
        <v>110</v>
      </c>
      <c r="B4" s="87"/>
      <c r="C4" s="73"/>
      <c r="D4" s="87"/>
      <c r="E4" s="164"/>
      <c r="F4" s="87"/>
      <c r="G4" s="245" t="s">
        <v>5</v>
      </c>
      <c r="H4" s="181" t="s">
        <v>755</v>
      </c>
    </row>
    <row r="5" spans="1:12" x14ac:dyDescent="0.3">
      <c r="A5" s="191" t="s">
        <v>16</v>
      </c>
      <c r="B5" s="168" t="s">
        <v>12</v>
      </c>
      <c r="C5" s="75" t="s">
        <v>4</v>
      </c>
      <c r="D5" s="92" t="s">
        <v>15</v>
      </c>
      <c r="E5" s="92" t="s">
        <v>1</v>
      </c>
      <c r="F5" s="92" t="s">
        <v>32</v>
      </c>
      <c r="G5" s="318" t="s">
        <v>2</v>
      </c>
      <c r="H5" s="91" t="s">
        <v>3</v>
      </c>
    </row>
    <row r="6" spans="1:12" x14ac:dyDescent="0.3">
      <c r="A6" s="115"/>
      <c r="B6" s="94"/>
      <c r="C6" s="78"/>
      <c r="D6" s="96" t="s">
        <v>0</v>
      </c>
      <c r="E6" s="96"/>
      <c r="F6" s="96" t="s">
        <v>33</v>
      </c>
      <c r="G6" s="319"/>
      <c r="H6" s="170"/>
    </row>
    <row r="7" spans="1:12" x14ac:dyDescent="0.3">
      <c r="A7" s="192" t="s">
        <v>756</v>
      </c>
      <c r="B7" s="107" t="s">
        <v>757</v>
      </c>
      <c r="C7" s="235" t="s">
        <v>1300</v>
      </c>
      <c r="D7" s="108"/>
      <c r="E7" s="190"/>
      <c r="F7" s="146"/>
      <c r="G7" s="320"/>
      <c r="H7" s="204"/>
    </row>
    <row r="8" spans="1:12" x14ac:dyDescent="0.3">
      <c r="A8" s="192"/>
      <c r="B8" s="107">
        <v>1</v>
      </c>
      <c r="C8" s="315" t="s">
        <v>440</v>
      </c>
      <c r="D8" s="47">
        <v>9250</v>
      </c>
      <c r="E8" s="190"/>
      <c r="F8" s="101"/>
      <c r="G8" s="320">
        <f>D9-E9</f>
        <v>9250</v>
      </c>
      <c r="H8" s="204"/>
    </row>
    <row r="9" spans="1:12" x14ac:dyDescent="0.3">
      <c r="A9" s="192"/>
      <c r="B9" s="107">
        <v>2</v>
      </c>
      <c r="C9" s="316" t="s">
        <v>417</v>
      </c>
      <c r="D9" s="48">
        <v>9250</v>
      </c>
      <c r="E9" s="190"/>
      <c r="F9" s="103"/>
      <c r="G9" s="320">
        <f t="shared" ref="G9:G72" si="0">D10-E10</f>
        <v>9250</v>
      </c>
      <c r="H9" s="204"/>
    </row>
    <row r="10" spans="1:12" x14ac:dyDescent="0.3">
      <c r="A10" s="192"/>
      <c r="B10" s="107">
        <v>3</v>
      </c>
      <c r="C10" s="316" t="s">
        <v>451</v>
      </c>
      <c r="D10" s="48">
        <v>9250</v>
      </c>
      <c r="E10" s="190"/>
      <c r="F10" s="103"/>
      <c r="G10" s="320">
        <f t="shared" si="0"/>
        <v>9250</v>
      </c>
      <c r="H10" s="204"/>
    </row>
    <row r="11" spans="1:12" x14ac:dyDescent="0.3">
      <c r="A11" s="192"/>
      <c r="B11" s="107">
        <v>4</v>
      </c>
      <c r="C11" s="316" t="s">
        <v>443</v>
      </c>
      <c r="D11" s="48">
        <v>9250</v>
      </c>
      <c r="E11" s="103"/>
      <c r="F11" s="103"/>
      <c r="G11" s="320">
        <f t="shared" si="0"/>
        <v>9250</v>
      </c>
      <c r="H11" s="104"/>
    </row>
    <row r="12" spans="1:12" x14ac:dyDescent="0.3">
      <c r="A12" s="192"/>
      <c r="B12" s="107">
        <v>5</v>
      </c>
      <c r="C12" s="316" t="s">
        <v>416</v>
      </c>
      <c r="D12" s="48">
        <v>9250</v>
      </c>
      <c r="E12" s="103"/>
      <c r="F12" s="103"/>
      <c r="G12" s="320">
        <f t="shared" si="0"/>
        <v>9250</v>
      </c>
      <c r="H12" s="85"/>
      <c r="K12" s="151"/>
      <c r="L12" s="150"/>
    </row>
    <row r="13" spans="1:12" x14ac:dyDescent="0.3">
      <c r="A13" s="192"/>
      <c r="B13" s="107">
        <v>6</v>
      </c>
      <c r="C13" s="316" t="s">
        <v>427</v>
      </c>
      <c r="D13" s="48">
        <v>9250</v>
      </c>
      <c r="E13" s="103"/>
      <c r="F13" s="146"/>
      <c r="G13" s="320">
        <f t="shared" si="0"/>
        <v>9250</v>
      </c>
      <c r="H13" s="204"/>
      <c r="K13" s="151"/>
      <c r="L13" s="150"/>
    </row>
    <row r="14" spans="1:12" x14ac:dyDescent="0.3">
      <c r="A14" s="192"/>
      <c r="B14" s="107">
        <v>7</v>
      </c>
      <c r="C14" s="316" t="s">
        <v>77</v>
      </c>
      <c r="D14" s="48">
        <v>9250</v>
      </c>
      <c r="E14" s="103"/>
      <c r="F14" s="146"/>
      <c r="G14" s="320">
        <f t="shared" si="0"/>
        <v>9250</v>
      </c>
      <c r="H14" s="204"/>
      <c r="K14" s="151"/>
      <c r="L14" s="150"/>
    </row>
    <row r="15" spans="1:12" x14ac:dyDescent="0.3">
      <c r="A15" s="192"/>
      <c r="B15" s="107">
        <v>8</v>
      </c>
      <c r="C15" s="316" t="s">
        <v>439</v>
      </c>
      <c r="D15" s="48">
        <v>9250</v>
      </c>
      <c r="E15" s="103"/>
      <c r="F15" s="146"/>
      <c r="G15" s="320">
        <f t="shared" si="0"/>
        <v>9250</v>
      </c>
      <c r="H15" s="204"/>
      <c r="K15" s="151"/>
      <c r="L15" s="150"/>
    </row>
    <row r="16" spans="1:12" x14ac:dyDescent="0.3">
      <c r="A16" s="192"/>
      <c r="B16" s="107">
        <v>9</v>
      </c>
      <c r="C16" s="316" t="s">
        <v>446</v>
      </c>
      <c r="D16" s="48">
        <v>9250</v>
      </c>
      <c r="E16" s="190"/>
      <c r="F16" s="146"/>
      <c r="G16" s="320">
        <f t="shared" si="0"/>
        <v>9250</v>
      </c>
      <c r="H16" s="204"/>
      <c r="K16" s="151"/>
      <c r="L16" s="150"/>
    </row>
    <row r="17" spans="1:12" x14ac:dyDescent="0.3">
      <c r="A17" s="192"/>
      <c r="B17" s="107">
        <v>10</v>
      </c>
      <c r="C17" s="316" t="s">
        <v>448</v>
      </c>
      <c r="D17" s="48">
        <v>9250</v>
      </c>
      <c r="E17" s="190"/>
      <c r="F17" s="146"/>
      <c r="G17" s="320">
        <f t="shared" si="0"/>
        <v>9250</v>
      </c>
      <c r="H17" s="204"/>
      <c r="K17" s="151"/>
      <c r="L17" s="150"/>
    </row>
    <row r="18" spans="1:12" x14ac:dyDescent="0.3">
      <c r="A18" s="192"/>
      <c r="B18" s="107">
        <v>11</v>
      </c>
      <c r="C18" s="316" t="s">
        <v>454</v>
      </c>
      <c r="D18" s="48">
        <v>9250</v>
      </c>
      <c r="E18" s="190"/>
      <c r="F18" s="101"/>
      <c r="G18" s="320">
        <f t="shared" si="0"/>
        <v>9250</v>
      </c>
      <c r="H18" s="204"/>
      <c r="K18" s="151"/>
      <c r="L18" s="150"/>
    </row>
    <row r="19" spans="1:12" x14ac:dyDescent="0.3">
      <c r="A19" s="192"/>
      <c r="B19" s="107">
        <v>12</v>
      </c>
      <c r="C19" s="316" t="s">
        <v>44</v>
      </c>
      <c r="D19" s="48">
        <v>9250</v>
      </c>
      <c r="E19" s="190"/>
      <c r="F19" s="146"/>
      <c r="G19" s="320">
        <f t="shared" si="0"/>
        <v>9250</v>
      </c>
      <c r="H19" s="204"/>
      <c r="K19" s="151"/>
      <c r="L19" s="150"/>
    </row>
    <row r="20" spans="1:12" x14ac:dyDescent="0.3">
      <c r="A20" s="192"/>
      <c r="B20" s="107">
        <v>13</v>
      </c>
      <c r="C20" s="316" t="s">
        <v>441</v>
      </c>
      <c r="D20" s="48">
        <v>9250</v>
      </c>
      <c r="E20" s="190"/>
      <c r="F20" s="146"/>
      <c r="G20" s="320">
        <f t="shared" si="0"/>
        <v>9250</v>
      </c>
      <c r="H20" s="204"/>
      <c r="K20" s="151"/>
      <c r="L20" s="150"/>
    </row>
    <row r="21" spans="1:12" x14ac:dyDescent="0.3">
      <c r="A21" s="192"/>
      <c r="B21" s="107">
        <v>14</v>
      </c>
      <c r="C21" s="316" t="s">
        <v>428</v>
      </c>
      <c r="D21" s="48">
        <v>9250</v>
      </c>
      <c r="E21" s="190"/>
      <c r="F21" s="146"/>
      <c r="G21" s="320">
        <f t="shared" si="0"/>
        <v>9250</v>
      </c>
      <c r="H21" s="204"/>
      <c r="K21" s="151"/>
      <c r="L21" s="150"/>
    </row>
    <row r="22" spans="1:12" x14ac:dyDescent="0.3">
      <c r="A22" s="192"/>
      <c r="B22" s="107">
        <v>15</v>
      </c>
      <c r="C22" s="316" t="s">
        <v>420</v>
      </c>
      <c r="D22" s="48">
        <v>9250</v>
      </c>
      <c r="E22" s="190"/>
      <c r="F22" s="146"/>
      <c r="G22" s="320">
        <f t="shared" si="0"/>
        <v>9250</v>
      </c>
      <c r="H22" s="204"/>
      <c r="K22" s="151"/>
      <c r="L22" s="150"/>
    </row>
    <row r="23" spans="1:12" x14ac:dyDescent="0.3">
      <c r="A23" s="192"/>
      <c r="B23" s="107">
        <v>16</v>
      </c>
      <c r="C23" s="316" t="s">
        <v>447</v>
      </c>
      <c r="D23" s="48">
        <v>9250</v>
      </c>
      <c r="E23" s="190"/>
      <c r="F23" s="146"/>
      <c r="G23" s="320">
        <f t="shared" si="0"/>
        <v>9250</v>
      </c>
      <c r="H23" s="204"/>
      <c r="K23" s="151"/>
      <c r="L23" s="150"/>
    </row>
    <row r="24" spans="1:12" x14ac:dyDescent="0.3">
      <c r="A24" s="192"/>
      <c r="B24" s="107">
        <v>17</v>
      </c>
      <c r="C24" s="316" t="s">
        <v>79</v>
      </c>
      <c r="D24" s="48">
        <v>9250</v>
      </c>
      <c r="E24" s="190"/>
      <c r="F24" s="146"/>
      <c r="G24" s="320">
        <f t="shared" si="0"/>
        <v>9250</v>
      </c>
      <c r="H24" s="204"/>
      <c r="K24" s="151"/>
      <c r="L24" s="150"/>
    </row>
    <row r="25" spans="1:12" x14ac:dyDescent="0.3">
      <c r="A25" s="192"/>
      <c r="B25" s="107">
        <v>18</v>
      </c>
      <c r="C25" s="316" t="s">
        <v>415</v>
      </c>
      <c r="D25" s="48">
        <v>9250</v>
      </c>
      <c r="E25" s="190"/>
      <c r="F25" s="146"/>
      <c r="G25" s="320">
        <f t="shared" si="0"/>
        <v>9250</v>
      </c>
      <c r="H25" s="204"/>
      <c r="K25" s="151"/>
      <c r="L25" s="150"/>
    </row>
    <row r="26" spans="1:12" x14ac:dyDescent="0.3">
      <c r="A26" s="192"/>
      <c r="B26" s="107">
        <v>19</v>
      </c>
      <c r="C26" s="316" t="s">
        <v>437</v>
      </c>
      <c r="D26" s="48">
        <v>9250</v>
      </c>
      <c r="E26" s="190"/>
      <c r="F26" s="146"/>
      <c r="G26" s="320">
        <f t="shared" si="0"/>
        <v>9250</v>
      </c>
      <c r="H26" s="204"/>
      <c r="K26" s="151"/>
      <c r="L26" s="150"/>
    </row>
    <row r="27" spans="1:12" x14ac:dyDescent="0.3">
      <c r="A27" s="192"/>
      <c r="B27" s="107">
        <v>20</v>
      </c>
      <c r="C27" s="316" t="s">
        <v>424</v>
      </c>
      <c r="D27" s="48">
        <v>9250</v>
      </c>
      <c r="E27" s="190"/>
      <c r="F27" s="146"/>
      <c r="G27" s="320">
        <f t="shared" si="0"/>
        <v>9250</v>
      </c>
      <c r="H27" s="204"/>
      <c r="K27" s="151"/>
      <c r="L27" s="150"/>
    </row>
    <row r="28" spans="1:12" x14ac:dyDescent="0.3">
      <c r="A28" s="192"/>
      <c r="B28" s="107">
        <v>21</v>
      </c>
      <c r="C28" s="316" t="s">
        <v>43</v>
      </c>
      <c r="D28" s="48">
        <v>9250</v>
      </c>
      <c r="E28" s="190"/>
      <c r="F28" s="146"/>
      <c r="G28" s="320">
        <f t="shared" si="0"/>
        <v>9250</v>
      </c>
      <c r="H28" s="204"/>
      <c r="K28" s="151"/>
      <c r="L28" s="150"/>
    </row>
    <row r="29" spans="1:12" x14ac:dyDescent="0.3">
      <c r="A29" s="192"/>
      <c r="B29" s="107">
        <v>22</v>
      </c>
      <c r="C29" s="316" t="s">
        <v>414</v>
      </c>
      <c r="D29" s="48">
        <v>9250</v>
      </c>
      <c r="E29" s="190"/>
      <c r="F29" s="146"/>
      <c r="G29" s="320">
        <f t="shared" si="0"/>
        <v>9250</v>
      </c>
      <c r="H29" s="204"/>
      <c r="K29" s="151"/>
      <c r="L29" s="150"/>
    </row>
    <row r="30" spans="1:12" x14ac:dyDescent="0.3">
      <c r="A30" s="192"/>
      <c r="B30" s="107">
        <v>23</v>
      </c>
      <c r="C30" s="316" t="s">
        <v>78</v>
      </c>
      <c r="D30" s="48">
        <v>9250</v>
      </c>
      <c r="E30" s="190"/>
      <c r="F30" s="146"/>
      <c r="G30" s="320">
        <f t="shared" si="0"/>
        <v>9250</v>
      </c>
      <c r="H30" s="204"/>
      <c r="K30" s="151"/>
      <c r="L30" s="150"/>
    </row>
    <row r="31" spans="1:12" x14ac:dyDescent="0.3">
      <c r="A31" s="192"/>
      <c r="B31" s="107">
        <v>24</v>
      </c>
      <c r="C31" s="316" t="s">
        <v>444</v>
      </c>
      <c r="D31" s="48">
        <v>9250</v>
      </c>
      <c r="E31" s="190"/>
      <c r="F31" s="146"/>
      <c r="G31" s="320">
        <f t="shared" si="0"/>
        <v>9250</v>
      </c>
      <c r="H31" s="204"/>
      <c r="K31" s="151"/>
      <c r="L31" s="150"/>
    </row>
    <row r="32" spans="1:12" x14ac:dyDescent="0.3">
      <c r="A32" s="192"/>
      <c r="B32" s="107">
        <v>25</v>
      </c>
      <c r="C32" s="316" t="s">
        <v>426</v>
      </c>
      <c r="D32" s="48">
        <v>9250</v>
      </c>
      <c r="E32" s="190"/>
      <c r="F32" s="146"/>
      <c r="G32" s="320">
        <f t="shared" si="0"/>
        <v>9250</v>
      </c>
      <c r="H32" s="204"/>
      <c r="K32" s="151"/>
      <c r="L32" s="150"/>
    </row>
    <row r="33" spans="1:12" x14ac:dyDescent="0.3">
      <c r="A33" s="192"/>
      <c r="B33" s="107">
        <v>26</v>
      </c>
      <c r="C33" s="316" t="s">
        <v>46</v>
      </c>
      <c r="D33" s="48">
        <v>9250</v>
      </c>
      <c r="E33" s="190"/>
      <c r="F33" s="146"/>
      <c r="G33" s="320">
        <f t="shared" si="0"/>
        <v>9250</v>
      </c>
      <c r="H33" s="204"/>
      <c r="K33" s="151"/>
      <c r="L33" s="150"/>
    </row>
    <row r="34" spans="1:12" x14ac:dyDescent="0.3">
      <c r="A34" s="192"/>
      <c r="B34" s="107">
        <v>27</v>
      </c>
      <c r="C34" s="316" t="s">
        <v>47</v>
      </c>
      <c r="D34" s="48">
        <v>9250</v>
      </c>
      <c r="E34" s="190"/>
      <c r="F34" s="146"/>
      <c r="G34" s="320">
        <f t="shared" si="0"/>
        <v>9250</v>
      </c>
      <c r="H34" s="204"/>
      <c r="K34" s="151"/>
      <c r="L34" s="150"/>
    </row>
    <row r="35" spans="1:12" x14ac:dyDescent="0.3">
      <c r="A35" s="192"/>
      <c r="B35" s="107">
        <v>28</v>
      </c>
      <c r="C35" s="316" t="s">
        <v>29</v>
      </c>
      <c r="D35" s="48">
        <v>9250</v>
      </c>
      <c r="E35" s="190"/>
      <c r="F35" s="146"/>
      <c r="G35" s="320">
        <f t="shared" si="0"/>
        <v>9250</v>
      </c>
      <c r="H35" s="204"/>
      <c r="K35" s="151"/>
      <c r="L35" s="150"/>
    </row>
    <row r="36" spans="1:12" x14ac:dyDescent="0.3">
      <c r="A36" s="192"/>
      <c r="B36" s="107">
        <v>29</v>
      </c>
      <c r="C36" s="316" t="s">
        <v>27</v>
      </c>
      <c r="D36" s="48">
        <v>9250</v>
      </c>
      <c r="E36" s="190"/>
      <c r="F36" s="146"/>
      <c r="G36" s="320">
        <f t="shared" si="0"/>
        <v>9250</v>
      </c>
      <c r="H36" s="204"/>
      <c r="K36" s="151"/>
      <c r="L36" s="150"/>
    </row>
    <row r="37" spans="1:12" x14ac:dyDescent="0.3">
      <c r="A37" s="192"/>
      <c r="B37" s="107">
        <v>30</v>
      </c>
      <c r="C37" s="316" t="s">
        <v>436</v>
      </c>
      <c r="D37" s="48">
        <v>9250</v>
      </c>
      <c r="E37" s="190"/>
      <c r="F37" s="146"/>
      <c r="G37" s="320">
        <f t="shared" si="0"/>
        <v>9250</v>
      </c>
      <c r="H37" s="204"/>
      <c r="K37" s="151"/>
      <c r="L37" s="150"/>
    </row>
    <row r="38" spans="1:12" x14ac:dyDescent="0.3">
      <c r="A38" s="192"/>
      <c r="B38" s="107">
        <v>31</v>
      </c>
      <c r="C38" s="316" t="s">
        <v>28</v>
      </c>
      <c r="D38" s="48">
        <v>9250</v>
      </c>
      <c r="E38" s="190"/>
      <c r="F38" s="146"/>
      <c r="G38" s="320">
        <f t="shared" si="0"/>
        <v>9250</v>
      </c>
      <c r="H38" s="204"/>
      <c r="K38" s="151"/>
      <c r="L38" s="150"/>
    </row>
    <row r="39" spans="1:12" x14ac:dyDescent="0.3">
      <c r="A39" s="192"/>
      <c r="B39" s="107">
        <v>32</v>
      </c>
      <c r="C39" s="316" t="s">
        <v>442</v>
      </c>
      <c r="D39" s="48">
        <v>9250</v>
      </c>
      <c r="E39" s="190"/>
      <c r="F39" s="146"/>
      <c r="G39" s="320">
        <f t="shared" si="0"/>
        <v>9250</v>
      </c>
      <c r="H39" s="204"/>
      <c r="K39" s="151"/>
      <c r="L39" s="150"/>
    </row>
    <row r="40" spans="1:12" x14ac:dyDescent="0.3">
      <c r="A40" s="192"/>
      <c r="B40" s="107">
        <v>33</v>
      </c>
      <c r="C40" s="316" t="s">
        <v>90</v>
      </c>
      <c r="D40" s="48">
        <v>9250</v>
      </c>
      <c r="E40" s="190"/>
      <c r="F40" s="146"/>
      <c r="G40" s="320">
        <f t="shared" si="0"/>
        <v>9250</v>
      </c>
      <c r="H40" s="204"/>
      <c r="K40" s="151"/>
      <c r="L40" s="150"/>
    </row>
    <row r="41" spans="1:12" x14ac:dyDescent="0.3">
      <c r="A41" s="192"/>
      <c r="B41" s="107">
        <v>34</v>
      </c>
      <c r="C41" s="316" t="s">
        <v>419</v>
      </c>
      <c r="D41" s="48">
        <v>9250</v>
      </c>
      <c r="E41" s="190"/>
      <c r="F41" s="146"/>
      <c r="G41" s="320">
        <f t="shared" si="0"/>
        <v>9250</v>
      </c>
      <c r="H41" s="204"/>
      <c r="K41" s="151"/>
      <c r="L41" s="150"/>
    </row>
    <row r="42" spans="1:12" x14ac:dyDescent="0.3">
      <c r="A42" s="192"/>
      <c r="B42" s="107">
        <v>35</v>
      </c>
      <c r="C42" s="316" t="s">
        <v>423</v>
      </c>
      <c r="D42" s="48">
        <v>9250</v>
      </c>
      <c r="E42" s="190"/>
      <c r="F42" s="146"/>
      <c r="G42" s="320">
        <f t="shared" si="0"/>
        <v>9250</v>
      </c>
      <c r="H42" s="204"/>
      <c r="K42" s="151"/>
      <c r="L42" s="150"/>
    </row>
    <row r="43" spans="1:12" x14ac:dyDescent="0.3">
      <c r="A43" s="192"/>
      <c r="B43" s="107">
        <v>36</v>
      </c>
      <c r="C43" s="316" t="s">
        <v>45</v>
      </c>
      <c r="D43" s="48">
        <v>9250</v>
      </c>
      <c r="E43" s="190"/>
      <c r="F43" s="146"/>
      <c r="G43" s="320">
        <f t="shared" si="0"/>
        <v>9250</v>
      </c>
      <c r="H43" s="204"/>
      <c r="K43" s="151"/>
      <c r="L43" s="150"/>
    </row>
    <row r="44" spans="1:12" x14ac:dyDescent="0.3">
      <c r="A44" s="192"/>
      <c r="B44" s="107">
        <v>37</v>
      </c>
      <c r="C44" s="316" t="s">
        <v>433</v>
      </c>
      <c r="D44" s="48">
        <v>9250</v>
      </c>
      <c r="E44" s="190"/>
      <c r="F44" s="146"/>
      <c r="G44" s="320">
        <f t="shared" si="0"/>
        <v>9250</v>
      </c>
      <c r="H44" s="204"/>
      <c r="K44" s="151"/>
      <c r="L44" s="150"/>
    </row>
    <row r="45" spans="1:12" x14ac:dyDescent="0.3">
      <c r="A45" s="192"/>
      <c r="B45" s="107">
        <v>38</v>
      </c>
      <c r="C45" s="316" t="s">
        <v>449</v>
      </c>
      <c r="D45" s="48">
        <v>9250</v>
      </c>
      <c r="E45" s="190"/>
      <c r="F45" s="146"/>
      <c r="G45" s="320">
        <f t="shared" si="0"/>
        <v>9250</v>
      </c>
      <c r="H45" s="204"/>
      <c r="K45" s="151"/>
      <c r="L45" s="150"/>
    </row>
    <row r="46" spans="1:12" x14ac:dyDescent="0.3">
      <c r="A46" s="192"/>
      <c r="B46" s="107">
        <v>39</v>
      </c>
      <c r="C46" s="316" t="s">
        <v>421</v>
      </c>
      <c r="D46" s="48">
        <v>9250</v>
      </c>
      <c r="E46" s="190"/>
      <c r="F46" s="146"/>
      <c r="G46" s="320">
        <f t="shared" si="0"/>
        <v>9250</v>
      </c>
      <c r="H46" s="204"/>
      <c r="K46" s="151"/>
      <c r="L46" s="150"/>
    </row>
    <row r="47" spans="1:12" x14ac:dyDescent="0.3">
      <c r="A47" s="192"/>
      <c r="B47" s="107">
        <v>40</v>
      </c>
      <c r="C47" s="316" t="s">
        <v>431</v>
      </c>
      <c r="D47" s="48">
        <v>9250</v>
      </c>
      <c r="E47" s="190"/>
      <c r="F47" s="146"/>
      <c r="G47" s="320">
        <f t="shared" si="0"/>
        <v>9250</v>
      </c>
      <c r="H47" s="204"/>
      <c r="K47" s="151"/>
      <c r="L47" s="150"/>
    </row>
    <row r="48" spans="1:12" x14ac:dyDescent="0.3">
      <c r="A48" s="192"/>
      <c r="B48" s="107">
        <v>41</v>
      </c>
      <c r="C48" s="316" t="s">
        <v>429</v>
      </c>
      <c r="D48" s="48">
        <v>9250</v>
      </c>
      <c r="E48" s="190"/>
      <c r="F48" s="146"/>
      <c r="G48" s="320">
        <f t="shared" si="0"/>
        <v>9250</v>
      </c>
      <c r="H48" s="204"/>
      <c r="K48" s="151"/>
      <c r="L48" s="150"/>
    </row>
    <row r="49" spans="1:12" x14ac:dyDescent="0.3">
      <c r="A49" s="192"/>
      <c r="B49" s="107">
        <v>42</v>
      </c>
      <c r="C49" s="316" t="s">
        <v>450</v>
      </c>
      <c r="D49" s="48">
        <v>9250</v>
      </c>
      <c r="E49" s="190"/>
      <c r="F49" s="146"/>
      <c r="G49" s="320">
        <f t="shared" si="0"/>
        <v>9250</v>
      </c>
      <c r="H49" s="204"/>
      <c r="K49" s="151"/>
      <c r="L49" s="150"/>
    </row>
    <row r="50" spans="1:12" x14ac:dyDescent="0.3">
      <c r="A50" s="192"/>
      <c r="B50" s="107">
        <v>43</v>
      </c>
      <c r="C50" s="316" t="s">
        <v>98</v>
      </c>
      <c r="D50" s="48">
        <v>9250</v>
      </c>
      <c r="E50" s="190"/>
      <c r="F50" s="146"/>
      <c r="G50" s="320">
        <f t="shared" si="0"/>
        <v>9250</v>
      </c>
      <c r="H50" s="204"/>
      <c r="K50" s="151"/>
      <c r="L50" s="150"/>
    </row>
    <row r="51" spans="1:12" x14ac:dyDescent="0.3">
      <c r="A51" s="192"/>
      <c r="B51" s="107">
        <v>44</v>
      </c>
      <c r="C51" s="316" t="s">
        <v>434</v>
      </c>
      <c r="D51" s="48">
        <v>9250</v>
      </c>
      <c r="E51" s="190"/>
      <c r="F51" s="146"/>
      <c r="G51" s="320">
        <f t="shared" si="0"/>
        <v>9250</v>
      </c>
      <c r="H51" s="204"/>
      <c r="K51" s="151"/>
      <c r="L51" s="150"/>
    </row>
    <row r="52" spans="1:12" x14ac:dyDescent="0.3">
      <c r="A52" s="192"/>
      <c r="B52" s="107">
        <v>45</v>
      </c>
      <c r="C52" s="316" t="s">
        <v>432</v>
      </c>
      <c r="D52" s="48">
        <v>9250</v>
      </c>
      <c r="E52" s="190"/>
      <c r="F52" s="146"/>
      <c r="G52" s="320">
        <f t="shared" si="0"/>
        <v>9250</v>
      </c>
      <c r="H52" s="204"/>
      <c r="K52" s="151"/>
      <c r="L52" s="150"/>
    </row>
    <row r="53" spans="1:12" x14ac:dyDescent="0.3">
      <c r="A53" s="192"/>
      <c r="B53" s="107">
        <v>46</v>
      </c>
      <c r="C53" s="316" t="s">
        <v>453</v>
      </c>
      <c r="D53" s="48">
        <v>9250</v>
      </c>
      <c r="E53" s="190"/>
      <c r="F53" s="146"/>
      <c r="G53" s="320">
        <f t="shared" si="0"/>
        <v>9250</v>
      </c>
      <c r="H53" s="204"/>
      <c r="K53" s="151"/>
      <c r="L53" s="150"/>
    </row>
    <row r="54" spans="1:12" x14ac:dyDescent="0.3">
      <c r="A54" s="192"/>
      <c r="B54" s="107">
        <v>47</v>
      </c>
      <c r="C54" s="316" t="s">
        <v>80</v>
      </c>
      <c r="D54" s="48">
        <v>9250</v>
      </c>
      <c r="E54" s="190"/>
      <c r="F54" s="146"/>
      <c r="G54" s="320">
        <f t="shared" si="0"/>
        <v>9250</v>
      </c>
      <c r="H54" s="204"/>
      <c r="K54" s="151"/>
      <c r="L54" s="150"/>
    </row>
    <row r="55" spans="1:12" x14ac:dyDescent="0.3">
      <c r="A55" s="192"/>
      <c r="B55" s="107">
        <v>48</v>
      </c>
      <c r="C55" s="316" t="s">
        <v>430</v>
      </c>
      <c r="D55" s="48">
        <v>9250</v>
      </c>
      <c r="E55" s="190"/>
      <c r="F55" s="146"/>
      <c r="G55" s="320">
        <f t="shared" si="0"/>
        <v>9250</v>
      </c>
      <c r="H55" s="204"/>
      <c r="K55" s="151"/>
      <c r="L55" s="150"/>
    </row>
    <row r="56" spans="1:12" x14ac:dyDescent="0.3">
      <c r="A56" s="192"/>
      <c r="B56" s="107">
        <v>49</v>
      </c>
      <c r="C56" s="316" t="s">
        <v>438</v>
      </c>
      <c r="D56" s="48">
        <v>9250</v>
      </c>
      <c r="E56" s="190"/>
      <c r="F56" s="146"/>
      <c r="G56" s="320">
        <f t="shared" si="0"/>
        <v>9250</v>
      </c>
      <c r="H56" s="204"/>
      <c r="K56" s="151"/>
      <c r="L56" s="150"/>
    </row>
    <row r="57" spans="1:12" x14ac:dyDescent="0.3">
      <c r="A57" s="192"/>
      <c r="B57" s="107">
        <v>50</v>
      </c>
      <c r="C57" s="316" t="s">
        <v>452</v>
      </c>
      <c r="D57" s="48">
        <v>9250</v>
      </c>
      <c r="E57" s="190"/>
      <c r="F57" s="146"/>
      <c r="G57" s="320">
        <f t="shared" si="0"/>
        <v>9250</v>
      </c>
      <c r="H57" s="204"/>
      <c r="K57" s="151"/>
      <c r="L57" s="150"/>
    </row>
    <row r="58" spans="1:12" x14ac:dyDescent="0.3">
      <c r="A58" s="192"/>
      <c r="B58" s="107">
        <v>51</v>
      </c>
      <c r="C58" s="316" t="s">
        <v>435</v>
      </c>
      <c r="D58" s="48">
        <v>9250</v>
      </c>
      <c r="E58" s="190"/>
      <c r="F58" s="146"/>
      <c r="G58" s="320">
        <f t="shared" si="0"/>
        <v>9250</v>
      </c>
      <c r="H58" s="204"/>
      <c r="K58" s="151"/>
      <c r="L58" s="150"/>
    </row>
    <row r="59" spans="1:12" x14ac:dyDescent="0.3">
      <c r="A59" s="192"/>
      <c r="B59" s="107">
        <v>52</v>
      </c>
      <c r="C59" s="316" t="s">
        <v>66</v>
      </c>
      <c r="D59" s="48">
        <v>9250</v>
      </c>
      <c r="E59" s="190"/>
      <c r="F59" s="146"/>
      <c r="G59" s="320">
        <f t="shared" si="0"/>
        <v>9250</v>
      </c>
      <c r="H59" s="204"/>
      <c r="K59" s="151"/>
      <c r="L59" s="150"/>
    </row>
    <row r="60" spans="1:12" x14ac:dyDescent="0.3">
      <c r="A60" s="192"/>
      <c r="B60" s="107">
        <v>53</v>
      </c>
      <c r="C60" s="316" t="s">
        <v>445</v>
      </c>
      <c r="D60" s="48">
        <v>9250</v>
      </c>
      <c r="E60" s="190"/>
      <c r="F60" s="146"/>
      <c r="G60" s="320">
        <f t="shared" si="0"/>
        <v>9250</v>
      </c>
      <c r="H60" s="204"/>
      <c r="K60" s="151"/>
      <c r="L60" s="150"/>
    </row>
    <row r="61" spans="1:12" x14ac:dyDescent="0.3">
      <c r="A61" s="192"/>
      <c r="B61" s="107">
        <v>54</v>
      </c>
      <c r="C61" s="316" t="s">
        <v>99</v>
      </c>
      <c r="D61" s="48">
        <v>9250</v>
      </c>
      <c r="E61" s="190"/>
      <c r="F61" s="146"/>
      <c r="G61" s="320">
        <f t="shared" si="0"/>
        <v>9250</v>
      </c>
      <c r="H61" s="204"/>
      <c r="K61" s="151"/>
      <c r="L61" s="150"/>
    </row>
    <row r="62" spans="1:12" x14ac:dyDescent="0.3">
      <c r="A62" s="192"/>
      <c r="B62" s="107">
        <v>55</v>
      </c>
      <c r="C62" s="316" t="s">
        <v>91</v>
      </c>
      <c r="D62" s="48">
        <v>9250</v>
      </c>
      <c r="E62" s="190"/>
      <c r="F62" s="146"/>
      <c r="G62" s="320">
        <f t="shared" si="0"/>
        <v>9250</v>
      </c>
      <c r="H62" s="204"/>
      <c r="K62" s="151"/>
      <c r="L62" s="150"/>
    </row>
    <row r="63" spans="1:12" x14ac:dyDescent="0.3">
      <c r="A63" s="192"/>
      <c r="B63" s="107">
        <v>56</v>
      </c>
      <c r="C63" s="316" t="s">
        <v>67</v>
      </c>
      <c r="D63" s="48">
        <v>9250</v>
      </c>
      <c r="E63" s="190"/>
      <c r="F63" s="146"/>
      <c r="G63" s="320">
        <f t="shared" si="0"/>
        <v>9250</v>
      </c>
      <c r="H63" s="204"/>
      <c r="K63" s="151"/>
      <c r="L63" s="150"/>
    </row>
    <row r="64" spans="1:12" x14ac:dyDescent="0.3">
      <c r="A64" s="192"/>
      <c r="B64" s="107">
        <v>57</v>
      </c>
      <c r="C64" s="316" t="s">
        <v>81</v>
      </c>
      <c r="D64" s="48">
        <v>9250</v>
      </c>
      <c r="E64" s="190"/>
      <c r="F64" s="146"/>
      <c r="G64" s="320">
        <f t="shared" si="0"/>
        <v>9250</v>
      </c>
      <c r="H64" s="204"/>
      <c r="K64" s="151"/>
      <c r="L64" s="150"/>
    </row>
    <row r="65" spans="1:12" x14ac:dyDescent="0.3">
      <c r="A65" s="192"/>
      <c r="B65" s="107">
        <v>58</v>
      </c>
      <c r="C65" s="316" t="s">
        <v>413</v>
      </c>
      <c r="D65" s="48">
        <v>9250</v>
      </c>
      <c r="E65" s="190"/>
      <c r="F65" s="146"/>
      <c r="G65" s="320">
        <f t="shared" si="0"/>
        <v>9250</v>
      </c>
      <c r="H65" s="204"/>
      <c r="K65" s="151"/>
      <c r="L65" s="150"/>
    </row>
    <row r="66" spans="1:12" x14ac:dyDescent="0.3">
      <c r="A66" s="192"/>
      <c r="B66" s="107">
        <v>59</v>
      </c>
      <c r="C66" s="316" t="s">
        <v>65</v>
      </c>
      <c r="D66" s="48">
        <v>9250</v>
      </c>
      <c r="E66" s="190"/>
      <c r="F66" s="146"/>
      <c r="G66" s="320">
        <f t="shared" si="0"/>
        <v>15250</v>
      </c>
      <c r="H66" s="204"/>
      <c r="K66" s="151"/>
      <c r="L66" s="150"/>
    </row>
    <row r="67" spans="1:12" x14ac:dyDescent="0.3">
      <c r="A67" s="192"/>
      <c r="B67" s="107">
        <v>60</v>
      </c>
      <c r="C67" s="316" t="s">
        <v>418</v>
      </c>
      <c r="D67" s="48">
        <v>15250</v>
      </c>
      <c r="E67" s="190"/>
      <c r="F67" s="146"/>
      <c r="G67" s="320">
        <f t="shared" si="0"/>
        <v>15250</v>
      </c>
      <c r="H67" s="204"/>
      <c r="K67" s="151"/>
      <c r="L67" s="150"/>
    </row>
    <row r="68" spans="1:12" x14ac:dyDescent="0.3">
      <c r="A68" s="192"/>
      <c r="B68" s="107">
        <v>61</v>
      </c>
      <c r="C68" s="316" t="s">
        <v>425</v>
      </c>
      <c r="D68" s="48">
        <v>15250</v>
      </c>
      <c r="E68" s="190"/>
      <c r="F68" s="146"/>
      <c r="G68" s="320">
        <f t="shared" si="0"/>
        <v>15250</v>
      </c>
      <c r="H68" s="204"/>
      <c r="K68" s="151"/>
      <c r="L68" s="150"/>
    </row>
    <row r="69" spans="1:12" x14ac:dyDescent="0.3">
      <c r="A69" s="192"/>
      <c r="B69" s="107">
        <v>62</v>
      </c>
      <c r="C69" s="316" t="s">
        <v>1355</v>
      </c>
      <c r="D69" s="48">
        <v>15250</v>
      </c>
      <c r="E69" s="190"/>
      <c r="F69" s="146"/>
      <c r="G69" s="320">
        <f t="shared" si="0"/>
        <v>15250</v>
      </c>
      <c r="H69" s="204"/>
      <c r="K69" s="151"/>
      <c r="L69" s="150"/>
    </row>
    <row r="70" spans="1:12" x14ac:dyDescent="0.3">
      <c r="A70" s="192"/>
      <c r="B70" s="107">
        <v>63</v>
      </c>
      <c r="C70" s="316" t="s">
        <v>64</v>
      </c>
      <c r="D70" s="48">
        <v>15250</v>
      </c>
      <c r="E70" s="190"/>
      <c r="F70" s="146"/>
      <c r="G70" s="320">
        <f t="shared" si="0"/>
        <v>9250</v>
      </c>
      <c r="H70" s="204"/>
      <c r="K70" s="151"/>
      <c r="L70" s="150"/>
    </row>
    <row r="71" spans="1:12" x14ac:dyDescent="0.3">
      <c r="A71" s="192"/>
      <c r="B71" s="107">
        <v>64</v>
      </c>
      <c r="C71" s="316" t="s">
        <v>461</v>
      </c>
      <c r="D71" s="48">
        <v>9250</v>
      </c>
      <c r="E71" s="190"/>
      <c r="F71" s="146"/>
      <c r="G71" s="320">
        <f t="shared" si="0"/>
        <v>9250</v>
      </c>
      <c r="H71" s="204"/>
      <c r="K71" s="151"/>
      <c r="L71" s="150"/>
    </row>
    <row r="72" spans="1:12" x14ac:dyDescent="0.3">
      <c r="A72" s="192"/>
      <c r="B72" s="107">
        <v>65</v>
      </c>
      <c r="C72" s="316" t="s">
        <v>92</v>
      </c>
      <c r="D72" s="48">
        <v>9250</v>
      </c>
      <c r="E72" s="190"/>
      <c r="F72" s="146"/>
      <c r="G72" s="320">
        <f t="shared" si="0"/>
        <v>9250</v>
      </c>
      <c r="H72" s="204"/>
      <c r="K72" s="151"/>
      <c r="L72" s="150"/>
    </row>
    <row r="73" spans="1:12" x14ac:dyDescent="0.3">
      <c r="A73" s="192"/>
      <c r="B73" s="107">
        <v>66</v>
      </c>
      <c r="C73" s="316" t="s">
        <v>51</v>
      </c>
      <c r="D73" s="48">
        <v>9250</v>
      </c>
      <c r="E73" s="190"/>
      <c r="F73" s="146"/>
      <c r="G73" s="320">
        <f t="shared" ref="G73:G136" si="1">D74-E74</f>
        <v>9250</v>
      </c>
      <c r="H73" s="204"/>
      <c r="K73" s="151"/>
      <c r="L73" s="150"/>
    </row>
    <row r="74" spans="1:12" x14ac:dyDescent="0.3">
      <c r="A74" s="192"/>
      <c r="B74" s="107">
        <v>67</v>
      </c>
      <c r="C74" s="316" t="s">
        <v>48</v>
      </c>
      <c r="D74" s="48">
        <v>9250</v>
      </c>
      <c r="E74" s="190"/>
      <c r="F74" s="146"/>
      <c r="G74" s="320">
        <f t="shared" si="1"/>
        <v>9250</v>
      </c>
      <c r="H74" s="204"/>
      <c r="K74" s="151"/>
      <c r="L74" s="150"/>
    </row>
    <row r="75" spans="1:12" x14ac:dyDescent="0.3">
      <c r="A75" s="192"/>
      <c r="B75" s="107">
        <v>68</v>
      </c>
      <c r="C75" s="316" t="s">
        <v>473</v>
      </c>
      <c r="D75" s="48">
        <v>9250</v>
      </c>
      <c r="E75" s="190"/>
      <c r="F75" s="146"/>
      <c r="G75" s="320">
        <f t="shared" si="1"/>
        <v>9250</v>
      </c>
      <c r="H75" s="204"/>
      <c r="K75" s="151"/>
      <c r="L75" s="150"/>
    </row>
    <row r="76" spans="1:12" x14ac:dyDescent="0.3">
      <c r="A76" s="192"/>
      <c r="B76" s="107">
        <v>69</v>
      </c>
      <c r="C76" s="316" t="s">
        <v>480</v>
      </c>
      <c r="D76" s="48">
        <v>9250</v>
      </c>
      <c r="E76" s="190"/>
      <c r="F76" s="146"/>
      <c r="G76" s="320">
        <f t="shared" si="1"/>
        <v>9250</v>
      </c>
      <c r="H76" s="204"/>
      <c r="K76" s="151"/>
      <c r="L76" s="150"/>
    </row>
    <row r="77" spans="1:12" x14ac:dyDescent="0.3">
      <c r="A77" s="192"/>
      <c r="B77" s="107">
        <v>70</v>
      </c>
      <c r="C77" s="316" t="s">
        <v>468</v>
      </c>
      <c r="D77" s="48">
        <v>9250</v>
      </c>
      <c r="E77" s="190"/>
      <c r="F77" s="146"/>
      <c r="G77" s="320">
        <f t="shared" si="1"/>
        <v>9250</v>
      </c>
      <c r="H77" s="204"/>
      <c r="K77" s="151"/>
      <c r="L77" s="150"/>
    </row>
    <row r="78" spans="1:12" x14ac:dyDescent="0.3">
      <c r="A78" s="192"/>
      <c r="B78" s="107">
        <v>71</v>
      </c>
      <c r="C78" s="316" t="s">
        <v>471</v>
      </c>
      <c r="D78" s="48">
        <v>9250</v>
      </c>
      <c r="E78" s="190"/>
      <c r="F78" s="146"/>
      <c r="G78" s="320">
        <f t="shared" si="1"/>
        <v>9250</v>
      </c>
      <c r="H78" s="204"/>
      <c r="K78" s="151"/>
      <c r="L78" s="150"/>
    </row>
    <row r="79" spans="1:12" x14ac:dyDescent="0.3">
      <c r="A79" s="192"/>
      <c r="B79" s="107">
        <v>72</v>
      </c>
      <c r="C79" s="316" t="s">
        <v>457</v>
      </c>
      <c r="D79" s="48">
        <v>9250</v>
      </c>
      <c r="E79" s="190"/>
      <c r="F79" s="146"/>
      <c r="G79" s="320">
        <f t="shared" si="1"/>
        <v>9250</v>
      </c>
      <c r="H79" s="204"/>
      <c r="K79" s="151"/>
      <c r="L79" s="150"/>
    </row>
    <row r="80" spans="1:12" x14ac:dyDescent="0.3">
      <c r="A80" s="192"/>
      <c r="B80" s="107">
        <v>73</v>
      </c>
      <c r="C80" s="316" t="s">
        <v>50</v>
      </c>
      <c r="D80" s="48">
        <v>9250</v>
      </c>
      <c r="E80" s="190"/>
      <c r="F80" s="146"/>
      <c r="G80" s="320">
        <f t="shared" si="1"/>
        <v>9250</v>
      </c>
      <c r="H80" s="204"/>
      <c r="K80" s="151"/>
      <c r="L80" s="150"/>
    </row>
    <row r="81" spans="1:12" x14ac:dyDescent="0.3">
      <c r="A81" s="192"/>
      <c r="B81" s="107">
        <v>74</v>
      </c>
      <c r="C81" s="316" t="s">
        <v>467</v>
      </c>
      <c r="D81" s="48">
        <v>9250</v>
      </c>
      <c r="E81" s="190"/>
      <c r="F81" s="146"/>
      <c r="G81" s="320">
        <f t="shared" si="1"/>
        <v>9250</v>
      </c>
      <c r="H81" s="204"/>
      <c r="K81" s="151"/>
      <c r="L81" s="150"/>
    </row>
    <row r="82" spans="1:12" x14ac:dyDescent="0.3">
      <c r="A82" s="192"/>
      <c r="B82" s="107">
        <v>75</v>
      </c>
      <c r="C82" s="316" t="s">
        <v>462</v>
      </c>
      <c r="D82" s="48">
        <v>9250</v>
      </c>
      <c r="E82" s="190"/>
      <c r="F82" s="146"/>
      <c r="G82" s="320">
        <f t="shared" si="1"/>
        <v>9250</v>
      </c>
      <c r="H82" s="204"/>
      <c r="K82" s="151"/>
      <c r="L82" s="150"/>
    </row>
    <row r="83" spans="1:12" x14ac:dyDescent="0.3">
      <c r="A83" s="192"/>
      <c r="B83" s="107">
        <v>76</v>
      </c>
      <c r="C83" s="316" t="s">
        <v>477</v>
      </c>
      <c r="D83" s="48">
        <v>9250</v>
      </c>
      <c r="E83" s="190"/>
      <c r="F83" s="146"/>
      <c r="G83" s="320">
        <f t="shared" si="1"/>
        <v>9250</v>
      </c>
      <c r="H83" s="204"/>
      <c r="K83" s="151"/>
      <c r="L83" s="150"/>
    </row>
    <row r="84" spans="1:12" x14ac:dyDescent="0.3">
      <c r="A84" s="192"/>
      <c r="B84" s="107">
        <v>77</v>
      </c>
      <c r="C84" s="316" t="s">
        <v>479</v>
      </c>
      <c r="D84" s="48">
        <v>9250</v>
      </c>
      <c r="E84" s="190"/>
      <c r="F84" s="146"/>
      <c r="G84" s="320">
        <f t="shared" si="1"/>
        <v>9250</v>
      </c>
      <c r="H84" s="204"/>
      <c r="K84" s="151"/>
      <c r="L84" s="150"/>
    </row>
    <row r="85" spans="1:12" x14ac:dyDescent="0.3">
      <c r="A85" s="192"/>
      <c r="B85" s="107">
        <v>78</v>
      </c>
      <c r="C85" s="316" t="s">
        <v>469</v>
      </c>
      <c r="D85" s="48">
        <v>9250</v>
      </c>
      <c r="E85" s="190"/>
      <c r="F85" s="146"/>
      <c r="G85" s="320">
        <f t="shared" si="1"/>
        <v>9250</v>
      </c>
      <c r="H85" s="204"/>
      <c r="K85" s="151"/>
      <c r="L85" s="150"/>
    </row>
    <row r="86" spans="1:12" x14ac:dyDescent="0.3">
      <c r="A86" s="192"/>
      <c r="B86" s="107">
        <v>79</v>
      </c>
      <c r="C86" s="316" t="s">
        <v>460</v>
      </c>
      <c r="D86" s="48">
        <v>9250</v>
      </c>
      <c r="E86" s="190"/>
      <c r="F86" s="146"/>
      <c r="G86" s="320">
        <f t="shared" si="1"/>
        <v>9250</v>
      </c>
      <c r="H86" s="204"/>
      <c r="K86" s="151"/>
      <c r="L86" s="150"/>
    </row>
    <row r="87" spans="1:12" x14ac:dyDescent="0.3">
      <c r="A87" s="192"/>
      <c r="B87" s="107">
        <v>80</v>
      </c>
      <c r="C87" s="316" t="s">
        <v>476</v>
      </c>
      <c r="D87" s="48">
        <v>9250</v>
      </c>
      <c r="E87" s="190"/>
      <c r="F87" s="146"/>
      <c r="G87" s="320">
        <f t="shared" si="1"/>
        <v>9250</v>
      </c>
      <c r="H87" s="204"/>
      <c r="K87" s="151"/>
      <c r="L87" s="150"/>
    </row>
    <row r="88" spans="1:12" x14ac:dyDescent="0.3">
      <c r="A88" s="192"/>
      <c r="B88" s="107">
        <v>81</v>
      </c>
      <c r="C88" s="316" t="s">
        <v>465</v>
      </c>
      <c r="D88" s="48">
        <v>9250</v>
      </c>
      <c r="E88" s="190"/>
      <c r="F88" s="146"/>
      <c r="G88" s="320">
        <f t="shared" si="1"/>
        <v>9250</v>
      </c>
      <c r="H88" s="204"/>
      <c r="K88" s="151"/>
      <c r="L88" s="150"/>
    </row>
    <row r="89" spans="1:12" x14ac:dyDescent="0.3">
      <c r="A89" s="192"/>
      <c r="B89" s="107">
        <v>82</v>
      </c>
      <c r="C89" s="316" t="s">
        <v>466</v>
      </c>
      <c r="D89" s="48">
        <v>9250</v>
      </c>
      <c r="E89" s="190"/>
      <c r="F89" s="146"/>
      <c r="G89" s="320">
        <f t="shared" si="1"/>
        <v>9250</v>
      </c>
      <c r="H89" s="204"/>
      <c r="K89" s="151"/>
      <c r="L89" s="150"/>
    </row>
    <row r="90" spans="1:12" x14ac:dyDescent="0.3">
      <c r="A90" s="192"/>
      <c r="B90" s="107">
        <v>83</v>
      </c>
      <c r="C90" s="316" t="s">
        <v>456</v>
      </c>
      <c r="D90" s="48">
        <v>9250</v>
      </c>
      <c r="E90" s="190"/>
      <c r="F90" s="146"/>
      <c r="G90" s="320">
        <f t="shared" si="1"/>
        <v>9250</v>
      </c>
      <c r="H90" s="204"/>
      <c r="K90" s="151"/>
      <c r="L90" s="150"/>
    </row>
    <row r="91" spans="1:12" x14ac:dyDescent="0.3">
      <c r="A91" s="192"/>
      <c r="B91" s="107">
        <v>84</v>
      </c>
      <c r="C91" s="316" t="s">
        <v>455</v>
      </c>
      <c r="D91" s="48">
        <v>9250</v>
      </c>
      <c r="E91" s="190"/>
      <c r="F91" s="146"/>
      <c r="G91" s="320">
        <f t="shared" si="1"/>
        <v>9250</v>
      </c>
      <c r="H91" s="204"/>
      <c r="K91" s="151"/>
      <c r="L91" s="150"/>
    </row>
    <row r="92" spans="1:12" x14ac:dyDescent="0.3">
      <c r="A92" s="192"/>
      <c r="B92" s="107">
        <v>85</v>
      </c>
      <c r="C92" s="316" t="s">
        <v>464</v>
      </c>
      <c r="D92" s="48">
        <v>9250</v>
      </c>
      <c r="E92" s="190"/>
      <c r="F92" s="146"/>
      <c r="G92" s="320">
        <f t="shared" si="1"/>
        <v>9250</v>
      </c>
      <c r="H92" s="204"/>
      <c r="K92" s="151"/>
      <c r="L92" s="150"/>
    </row>
    <row r="93" spans="1:12" x14ac:dyDescent="0.3">
      <c r="A93" s="192"/>
      <c r="B93" s="107">
        <v>86</v>
      </c>
      <c r="C93" s="316" t="s">
        <v>93</v>
      </c>
      <c r="D93" s="48">
        <v>9250</v>
      </c>
      <c r="E93" s="190"/>
      <c r="F93" s="146"/>
      <c r="G93" s="320">
        <f t="shared" si="1"/>
        <v>9250</v>
      </c>
      <c r="H93" s="204"/>
      <c r="K93" s="151"/>
      <c r="L93" s="150"/>
    </row>
    <row r="94" spans="1:12" x14ac:dyDescent="0.3">
      <c r="A94" s="192"/>
      <c r="B94" s="107">
        <v>87</v>
      </c>
      <c r="C94" s="316" t="s">
        <v>89</v>
      </c>
      <c r="D94" s="48">
        <v>9250</v>
      </c>
      <c r="E94" s="190"/>
      <c r="F94" s="146"/>
      <c r="G94" s="320">
        <f t="shared" si="1"/>
        <v>9250</v>
      </c>
      <c r="H94" s="204"/>
      <c r="K94" s="151"/>
      <c r="L94" s="150"/>
    </row>
    <row r="95" spans="1:12" x14ac:dyDescent="0.3">
      <c r="A95" s="192"/>
      <c r="B95" s="107">
        <v>88</v>
      </c>
      <c r="C95" s="316" t="s">
        <v>82</v>
      </c>
      <c r="D95" s="48">
        <v>9250</v>
      </c>
      <c r="E95" s="190"/>
      <c r="F95" s="146"/>
      <c r="G95" s="320">
        <f t="shared" si="1"/>
        <v>9250</v>
      </c>
      <c r="H95" s="204"/>
      <c r="K95" s="151"/>
      <c r="L95" s="150"/>
    </row>
    <row r="96" spans="1:12" x14ac:dyDescent="0.3">
      <c r="A96" s="192"/>
      <c r="B96" s="107">
        <v>89</v>
      </c>
      <c r="C96" s="316" t="s">
        <v>474</v>
      </c>
      <c r="D96" s="48">
        <v>9250</v>
      </c>
      <c r="E96" s="190"/>
      <c r="F96" s="146"/>
      <c r="G96" s="320">
        <f t="shared" si="1"/>
        <v>9250</v>
      </c>
      <c r="H96" s="204"/>
      <c r="K96" s="151"/>
      <c r="L96" s="150"/>
    </row>
    <row r="97" spans="1:12" x14ac:dyDescent="0.3">
      <c r="A97" s="192"/>
      <c r="B97" s="107">
        <v>90</v>
      </c>
      <c r="C97" s="316" t="s">
        <v>472</v>
      </c>
      <c r="D97" s="48">
        <v>9250</v>
      </c>
      <c r="E97" s="190"/>
      <c r="F97" s="146"/>
      <c r="G97" s="320">
        <f t="shared" si="1"/>
        <v>9250</v>
      </c>
      <c r="H97" s="204"/>
      <c r="K97" s="151"/>
      <c r="L97" s="150"/>
    </row>
    <row r="98" spans="1:12" x14ac:dyDescent="0.3">
      <c r="A98" s="192"/>
      <c r="B98" s="107">
        <v>91</v>
      </c>
      <c r="C98" s="316" t="s">
        <v>458</v>
      </c>
      <c r="D98" s="48">
        <v>9250</v>
      </c>
      <c r="E98" s="190"/>
      <c r="F98" s="146"/>
      <c r="G98" s="320">
        <f t="shared" si="1"/>
        <v>9250</v>
      </c>
      <c r="H98" s="204"/>
      <c r="K98" s="151"/>
      <c r="L98" s="150"/>
    </row>
    <row r="99" spans="1:12" x14ac:dyDescent="0.3">
      <c r="A99" s="192"/>
      <c r="B99" s="107">
        <v>92</v>
      </c>
      <c r="C99" s="316" t="s">
        <v>49</v>
      </c>
      <c r="D99" s="48">
        <v>9250</v>
      </c>
      <c r="E99" s="190"/>
      <c r="F99" s="146"/>
      <c r="G99" s="320">
        <f t="shared" si="1"/>
        <v>9250</v>
      </c>
      <c r="H99" s="204"/>
      <c r="K99" s="151"/>
      <c r="L99" s="150"/>
    </row>
    <row r="100" spans="1:12" x14ac:dyDescent="0.3">
      <c r="A100" s="192"/>
      <c r="B100" s="107">
        <v>93</v>
      </c>
      <c r="C100" s="316" t="s">
        <v>470</v>
      </c>
      <c r="D100" s="48">
        <v>9250</v>
      </c>
      <c r="E100" s="190"/>
      <c r="F100" s="146"/>
      <c r="G100" s="320">
        <f t="shared" si="1"/>
        <v>9250</v>
      </c>
      <c r="H100" s="204"/>
      <c r="K100" s="151"/>
      <c r="L100" s="150"/>
    </row>
    <row r="101" spans="1:12" x14ac:dyDescent="0.3">
      <c r="A101" s="192"/>
      <c r="B101" s="107">
        <v>94</v>
      </c>
      <c r="C101" s="316" t="s">
        <v>100</v>
      </c>
      <c r="D101" s="48">
        <v>9250</v>
      </c>
      <c r="E101" s="190"/>
      <c r="F101" s="146"/>
      <c r="G101" s="320">
        <f t="shared" si="1"/>
        <v>9250</v>
      </c>
      <c r="H101" s="204"/>
      <c r="K101" s="151"/>
      <c r="L101" s="150"/>
    </row>
    <row r="102" spans="1:12" x14ac:dyDescent="0.3">
      <c r="A102" s="192"/>
      <c r="B102" s="107">
        <v>95</v>
      </c>
      <c r="C102" s="316" t="s">
        <v>36</v>
      </c>
      <c r="D102" s="48">
        <v>9250</v>
      </c>
      <c r="E102" s="190"/>
      <c r="F102" s="146"/>
      <c r="G102" s="320">
        <f t="shared" si="1"/>
        <v>9250</v>
      </c>
      <c r="H102" s="204"/>
      <c r="K102" s="151"/>
      <c r="L102" s="150"/>
    </row>
    <row r="103" spans="1:12" x14ac:dyDescent="0.3">
      <c r="A103" s="192"/>
      <c r="B103" s="107">
        <v>96</v>
      </c>
      <c r="C103" s="316" t="s">
        <v>83</v>
      </c>
      <c r="D103" s="48">
        <v>9250</v>
      </c>
      <c r="E103" s="190"/>
      <c r="F103" s="146"/>
      <c r="G103" s="320">
        <f t="shared" si="1"/>
        <v>15250</v>
      </c>
      <c r="H103" s="204"/>
      <c r="K103" s="151"/>
      <c r="L103" s="150"/>
    </row>
    <row r="104" spans="1:12" x14ac:dyDescent="0.3">
      <c r="A104" s="192"/>
      <c r="B104" s="107">
        <v>97</v>
      </c>
      <c r="C104" s="316" t="s">
        <v>463</v>
      </c>
      <c r="D104" s="48">
        <v>15250</v>
      </c>
      <c r="E104" s="190"/>
      <c r="F104" s="146"/>
      <c r="G104" s="320">
        <f t="shared" si="1"/>
        <v>15250</v>
      </c>
      <c r="H104" s="204"/>
      <c r="K104" s="151"/>
      <c r="L104" s="150"/>
    </row>
    <row r="105" spans="1:12" x14ac:dyDescent="0.3">
      <c r="A105" s="192"/>
      <c r="B105" s="107">
        <v>98</v>
      </c>
      <c r="C105" s="316" t="s">
        <v>478</v>
      </c>
      <c r="D105" s="48">
        <v>15250</v>
      </c>
      <c r="E105" s="190"/>
      <c r="F105" s="146"/>
      <c r="G105" s="320">
        <f t="shared" si="1"/>
        <v>15250</v>
      </c>
      <c r="H105" s="204"/>
      <c r="K105" s="151"/>
      <c r="L105" s="150"/>
    </row>
    <row r="106" spans="1:12" x14ac:dyDescent="0.3">
      <c r="A106" s="192"/>
      <c r="B106" s="107">
        <v>99</v>
      </c>
      <c r="C106" s="316" t="s">
        <v>459</v>
      </c>
      <c r="D106" s="48">
        <v>15250</v>
      </c>
      <c r="E106" s="190"/>
      <c r="F106" s="146"/>
      <c r="G106" s="320">
        <f t="shared" si="1"/>
        <v>15250</v>
      </c>
      <c r="H106" s="204"/>
      <c r="K106" s="151"/>
      <c r="L106" s="150"/>
    </row>
    <row r="107" spans="1:12" x14ac:dyDescent="0.3">
      <c r="A107" s="192"/>
      <c r="B107" s="107">
        <v>100</v>
      </c>
      <c r="C107" s="316" t="s">
        <v>61</v>
      </c>
      <c r="D107" s="48">
        <v>15250</v>
      </c>
      <c r="E107" s="190"/>
      <c r="F107" s="146"/>
      <c r="G107" s="320">
        <f t="shared" si="1"/>
        <v>15250</v>
      </c>
      <c r="H107" s="204"/>
      <c r="K107" s="151"/>
      <c r="L107" s="150"/>
    </row>
    <row r="108" spans="1:12" x14ac:dyDescent="0.3">
      <c r="A108" s="192"/>
      <c r="B108" s="107">
        <v>101</v>
      </c>
      <c r="C108" s="316" t="s">
        <v>1356</v>
      </c>
      <c r="D108" s="48">
        <v>15250</v>
      </c>
      <c r="E108" s="190"/>
      <c r="F108" s="146"/>
      <c r="G108" s="320">
        <f t="shared" si="1"/>
        <v>9250</v>
      </c>
      <c r="H108" s="204"/>
      <c r="K108" s="151"/>
      <c r="L108" s="150"/>
    </row>
    <row r="109" spans="1:12" x14ac:dyDescent="0.3">
      <c r="A109" s="192"/>
      <c r="B109" s="107">
        <v>102</v>
      </c>
      <c r="C109" s="316" t="s">
        <v>486</v>
      </c>
      <c r="D109" s="48">
        <v>9250</v>
      </c>
      <c r="E109" s="190"/>
      <c r="F109" s="146"/>
      <c r="G109" s="320">
        <f t="shared" si="1"/>
        <v>9250</v>
      </c>
      <c r="H109" s="204"/>
      <c r="K109" s="151"/>
      <c r="L109" s="150"/>
    </row>
    <row r="110" spans="1:12" x14ac:dyDescent="0.3">
      <c r="A110" s="192"/>
      <c r="B110" s="107">
        <v>103</v>
      </c>
      <c r="C110" s="316" t="s">
        <v>481</v>
      </c>
      <c r="D110" s="48">
        <v>9250</v>
      </c>
      <c r="E110" s="190"/>
      <c r="F110" s="146"/>
      <c r="G110" s="320">
        <f t="shared" si="1"/>
        <v>9250</v>
      </c>
      <c r="H110" s="204"/>
      <c r="K110" s="151"/>
      <c r="L110" s="150"/>
    </row>
    <row r="111" spans="1:12" x14ac:dyDescent="0.3">
      <c r="A111" s="192"/>
      <c r="B111" s="107">
        <v>104</v>
      </c>
      <c r="C111" s="316" t="s">
        <v>508</v>
      </c>
      <c r="D111" s="48">
        <v>9250</v>
      </c>
      <c r="E111" s="190"/>
      <c r="F111" s="146"/>
      <c r="G111" s="320">
        <f t="shared" si="1"/>
        <v>9250</v>
      </c>
      <c r="H111" s="204"/>
      <c r="K111" s="151"/>
      <c r="L111" s="150"/>
    </row>
    <row r="112" spans="1:12" x14ac:dyDescent="0.3">
      <c r="A112" s="192"/>
      <c r="B112" s="107">
        <v>105</v>
      </c>
      <c r="C112" s="316" t="s">
        <v>95</v>
      </c>
      <c r="D112" s="48">
        <v>9250</v>
      </c>
      <c r="E112" s="190"/>
      <c r="F112" s="146"/>
      <c r="G112" s="320">
        <f t="shared" si="1"/>
        <v>9250</v>
      </c>
      <c r="H112" s="204"/>
      <c r="K112" s="151"/>
      <c r="L112" s="150"/>
    </row>
    <row r="113" spans="1:12" x14ac:dyDescent="0.3">
      <c r="A113" s="192"/>
      <c r="B113" s="107">
        <v>106</v>
      </c>
      <c r="C113" s="316" t="s">
        <v>501</v>
      </c>
      <c r="D113" s="48">
        <v>9250</v>
      </c>
      <c r="E113" s="190"/>
      <c r="F113" s="146"/>
      <c r="G113" s="320">
        <f t="shared" si="1"/>
        <v>9250</v>
      </c>
      <c r="H113" s="204"/>
      <c r="K113" s="151"/>
      <c r="L113" s="150"/>
    </row>
    <row r="114" spans="1:12" x14ac:dyDescent="0.3">
      <c r="A114" s="192"/>
      <c r="B114" s="107">
        <v>107</v>
      </c>
      <c r="C114" s="316" t="s">
        <v>484</v>
      </c>
      <c r="D114" s="48">
        <v>9250</v>
      </c>
      <c r="E114" s="190"/>
      <c r="F114" s="146"/>
      <c r="G114" s="320">
        <f t="shared" si="1"/>
        <v>9250</v>
      </c>
      <c r="H114" s="204"/>
      <c r="K114" s="151"/>
      <c r="L114" s="150"/>
    </row>
    <row r="115" spans="1:12" x14ac:dyDescent="0.3">
      <c r="A115" s="192"/>
      <c r="B115" s="107">
        <v>108</v>
      </c>
      <c r="C115" s="316" t="s">
        <v>512</v>
      </c>
      <c r="D115" s="48">
        <v>9250</v>
      </c>
      <c r="E115" s="190"/>
      <c r="F115" s="146"/>
      <c r="G115" s="320">
        <f t="shared" si="1"/>
        <v>9250</v>
      </c>
      <c r="H115" s="204"/>
      <c r="K115" s="151"/>
      <c r="L115" s="150"/>
    </row>
    <row r="116" spans="1:12" x14ac:dyDescent="0.3">
      <c r="A116" s="192"/>
      <c r="B116" s="107">
        <v>109</v>
      </c>
      <c r="C116" s="316" t="s">
        <v>523</v>
      </c>
      <c r="D116" s="48">
        <v>9250</v>
      </c>
      <c r="E116" s="190"/>
      <c r="F116" s="146"/>
      <c r="G116" s="320">
        <f t="shared" si="1"/>
        <v>9250</v>
      </c>
      <c r="H116" s="204"/>
      <c r="K116" s="151"/>
      <c r="L116" s="150"/>
    </row>
    <row r="117" spans="1:12" x14ac:dyDescent="0.3">
      <c r="A117" s="192"/>
      <c r="B117" s="107">
        <v>110</v>
      </c>
      <c r="C117" s="316" t="s">
        <v>507</v>
      </c>
      <c r="D117" s="48">
        <v>9250</v>
      </c>
      <c r="E117" s="190"/>
      <c r="F117" s="146"/>
      <c r="G117" s="320">
        <f t="shared" si="1"/>
        <v>9250</v>
      </c>
      <c r="H117" s="204"/>
      <c r="K117" s="151"/>
      <c r="L117" s="150"/>
    </row>
    <row r="118" spans="1:12" x14ac:dyDescent="0.3">
      <c r="A118" s="192"/>
      <c r="B118" s="107">
        <v>111</v>
      </c>
      <c r="C118" s="316" t="s">
        <v>495</v>
      </c>
      <c r="D118" s="48">
        <v>9250</v>
      </c>
      <c r="E118" s="190"/>
      <c r="F118" s="146"/>
      <c r="G118" s="320">
        <f t="shared" si="1"/>
        <v>9250</v>
      </c>
      <c r="H118" s="204"/>
      <c r="K118" s="151"/>
      <c r="L118" s="150"/>
    </row>
    <row r="119" spans="1:12" x14ac:dyDescent="0.3">
      <c r="A119" s="192"/>
      <c r="B119" s="107">
        <v>112</v>
      </c>
      <c r="C119" s="316" t="s">
        <v>497</v>
      </c>
      <c r="D119" s="48">
        <v>9250</v>
      </c>
      <c r="E119" s="190"/>
      <c r="F119" s="146"/>
      <c r="G119" s="320">
        <f t="shared" si="1"/>
        <v>9250</v>
      </c>
      <c r="H119" s="204"/>
      <c r="K119" s="151"/>
      <c r="L119" s="150"/>
    </row>
    <row r="120" spans="1:12" x14ac:dyDescent="0.3">
      <c r="A120" s="192"/>
      <c r="B120" s="107">
        <v>113</v>
      </c>
      <c r="C120" s="316" t="s">
        <v>56</v>
      </c>
      <c r="D120" s="48">
        <v>9250</v>
      </c>
      <c r="E120" s="190"/>
      <c r="F120" s="146"/>
      <c r="G120" s="320">
        <f t="shared" si="1"/>
        <v>9250</v>
      </c>
      <c r="H120" s="204"/>
      <c r="K120" s="151"/>
      <c r="L120" s="150"/>
    </row>
    <row r="121" spans="1:12" x14ac:dyDescent="0.3">
      <c r="A121" s="192"/>
      <c r="B121" s="107">
        <v>114</v>
      </c>
      <c r="C121" s="316" t="s">
        <v>500</v>
      </c>
      <c r="D121" s="48">
        <v>9250</v>
      </c>
      <c r="E121" s="190"/>
      <c r="F121" s="146"/>
      <c r="G121" s="320">
        <f t="shared" si="1"/>
        <v>9250</v>
      </c>
      <c r="H121" s="204"/>
      <c r="K121" s="151"/>
      <c r="L121" s="150"/>
    </row>
    <row r="122" spans="1:12" x14ac:dyDescent="0.3">
      <c r="A122" s="192"/>
      <c r="B122" s="107">
        <v>115</v>
      </c>
      <c r="C122" s="316" t="s">
        <v>496</v>
      </c>
      <c r="D122" s="48">
        <v>9250</v>
      </c>
      <c r="E122" s="190"/>
      <c r="F122" s="146"/>
      <c r="G122" s="320">
        <f t="shared" si="1"/>
        <v>9250</v>
      </c>
      <c r="H122" s="204"/>
      <c r="K122" s="151"/>
      <c r="L122" s="150"/>
    </row>
    <row r="123" spans="1:12" x14ac:dyDescent="0.3">
      <c r="A123" s="192"/>
      <c r="B123" s="107">
        <v>116</v>
      </c>
      <c r="C123" s="316" t="s">
        <v>525</v>
      </c>
      <c r="D123" s="48">
        <v>9250</v>
      </c>
      <c r="E123" s="190"/>
      <c r="F123" s="146"/>
      <c r="G123" s="320">
        <f t="shared" si="1"/>
        <v>9250</v>
      </c>
      <c r="H123" s="204"/>
      <c r="K123" s="151"/>
      <c r="L123" s="150"/>
    </row>
    <row r="124" spans="1:12" x14ac:dyDescent="0.3">
      <c r="A124" s="192"/>
      <c r="B124" s="107">
        <v>117</v>
      </c>
      <c r="C124" s="316" t="s">
        <v>483</v>
      </c>
      <c r="D124" s="48">
        <v>9250</v>
      </c>
      <c r="E124" s="190"/>
      <c r="F124" s="146"/>
      <c r="G124" s="320">
        <f t="shared" si="1"/>
        <v>9250</v>
      </c>
      <c r="H124" s="204"/>
      <c r="K124" s="151"/>
      <c r="L124" s="150"/>
    </row>
    <row r="125" spans="1:12" x14ac:dyDescent="0.3">
      <c r="A125" s="192"/>
      <c r="B125" s="107">
        <v>118</v>
      </c>
      <c r="C125" s="316" t="s">
        <v>487</v>
      </c>
      <c r="D125" s="48">
        <v>9250</v>
      </c>
      <c r="E125" s="190"/>
      <c r="F125" s="146"/>
      <c r="G125" s="320">
        <f t="shared" si="1"/>
        <v>9250</v>
      </c>
      <c r="H125" s="204"/>
      <c r="K125" s="151"/>
      <c r="L125" s="150"/>
    </row>
    <row r="126" spans="1:12" x14ac:dyDescent="0.3">
      <c r="A126" s="192"/>
      <c r="B126" s="107">
        <v>119</v>
      </c>
      <c r="C126" s="316" t="s">
        <v>499</v>
      </c>
      <c r="D126" s="48">
        <v>9250</v>
      </c>
      <c r="E126" s="190"/>
      <c r="F126" s="146"/>
      <c r="G126" s="320">
        <f t="shared" si="1"/>
        <v>9250</v>
      </c>
      <c r="H126" s="204"/>
      <c r="K126" s="151"/>
      <c r="L126" s="150"/>
    </row>
    <row r="127" spans="1:12" x14ac:dyDescent="0.3">
      <c r="A127" s="192"/>
      <c r="B127" s="107">
        <v>120</v>
      </c>
      <c r="C127" s="316" t="s">
        <v>494</v>
      </c>
      <c r="D127" s="48">
        <v>9250</v>
      </c>
      <c r="E127" s="190"/>
      <c r="F127" s="146"/>
      <c r="G127" s="320">
        <f t="shared" si="1"/>
        <v>9250</v>
      </c>
      <c r="H127" s="204"/>
      <c r="K127" s="151"/>
      <c r="L127" s="150"/>
    </row>
    <row r="128" spans="1:12" x14ac:dyDescent="0.3">
      <c r="A128" s="192"/>
      <c r="B128" s="107">
        <v>121</v>
      </c>
      <c r="C128" s="316" t="s">
        <v>502</v>
      </c>
      <c r="D128" s="48">
        <v>9250</v>
      </c>
      <c r="E128" s="190"/>
      <c r="F128" s="146"/>
      <c r="G128" s="320">
        <f t="shared" si="1"/>
        <v>9250</v>
      </c>
      <c r="H128" s="204"/>
      <c r="K128" s="151"/>
      <c r="L128" s="150"/>
    </row>
    <row r="129" spans="1:12" x14ac:dyDescent="0.3">
      <c r="A129" s="192"/>
      <c r="B129" s="107">
        <v>122</v>
      </c>
      <c r="C129" s="316" t="s">
        <v>85</v>
      </c>
      <c r="D129" s="48">
        <v>9250</v>
      </c>
      <c r="E129" s="190"/>
      <c r="F129" s="146"/>
      <c r="G129" s="320">
        <f t="shared" si="1"/>
        <v>9250</v>
      </c>
      <c r="H129" s="204"/>
      <c r="K129" s="151"/>
      <c r="L129" s="150"/>
    </row>
    <row r="130" spans="1:12" x14ac:dyDescent="0.3">
      <c r="A130" s="192"/>
      <c r="B130" s="107">
        <v>123</v>
      </c>
      <c r="C130" s="316" t="s">
        <v>517</v>
      </c>
      <c r="D130" s="48">
        <v>9250</v>
      </c>
      <c r="E130" s="190"/>
      <c r="F130" s="146"/>
      <c r="G130" s="320">
        <f t="shared" si="1"/>
        <v>9250</v>
      </c>
      <c r="H130" s="204"/>
      <c r="K130" s="151"/>
      <c r="L130" s="150"/>
    </row>
    <row r="131" spans="1:12" x14ac:dyDescent="0.3">
      <c r="A131" s="192"/>
      <c r="B131" s="107">
        <v>124</v>
      </c>
      <c r="C131" s="316" t="s">
        <v>448</v>
      </c>
      <c r="D131" s="48">
        <v>9250</v>
      </c>
      <c r="E131" s="190"/>
      <c r="F131" s="146"/>
      <c r="G131" s="320">
        <f t="shared" si="1"/>
        <v>9250</v>
      </c>
      <c r="H131" s="204"/>
      <c r="K131" s="151"/>
      <c r="L131" s="150"/>
    </row>
    <row r="132" spans="1:12" x14ac:dyDescent="0.3">
      <c r="A132" s="192"/>
      <c r="B132" s="107">
        <v>125</v>
      </c>
      <c r="C132" s="316" t="s">
        <v>1357</v>
      </c>
      <c r="D132" s="48">
        <v>9250</v>
      </c>
      <c r="E132" s="190"/>
      <c r="F132" s="146"/>
      <c r="G132" s="320">
        <f t="shared" si="1"/>
        <v>9250</v>
      </c>
      <c r="H132" s="204"/>
      <c r="K132" s="151"/>
      <c r="L132" s="150"/>
    </row>
    <row r="133" spans="1:12" x14ac:dyDescent="0.3">
      <c r="A133" s="192"/>
      <c r="B133" s="107">
        <v>126</v>
      </c>
      <c r="C133" s="316" t="s">
        <v>518</v>
      </c>
      <c r="D133" s="48">
        <v>9250</v>
      </c>
      <c r="E133" s="190"/>
      <c r="F133" s="146"/>
      <c r="G133" s="320">
        <f t="shared" si="1"/>
        <v>9250</v>
      </c>
      <c r="H133" s="204"/>
      <c r="K133" s="151"/>
      <c r="L133" s="150"/>
    </row>
    <row r="134" spans="1:12" x14ac:dyDescent="0.3">
      <c r="A134" s="192"/>
      <c r="B134" s="107">
        <v>127</v>
      </c>
      <c r="C134" s="316" t="s">
        <v>505</v>
      </c>
      <c r="D134" s="48">
        <v>9250</v>
      </c>
      <c r="E134" s="190"/>
      <c r="F134" s="146"/>
      <c r="G134" s="320">
        <f t="shared" si="1"/>
        <v>9250</v>
      </c>
      <c r="H134" s="204"/>
      <c r="K134" s="151"/>
      <c r="L134" s="150"/>
    </row>
    <row r="135" spans="1:12" x14ac:dyDescent="0.3">
      <c r="A135" s="192"/>
      <c r="B135" s="107">
        <v>128</v>
      </c>
      <c r="C135" s="316" t="s">
        <v>510</v>
      </c>
      <c r="D135" s="48">
        <v>9250</v>
      </c>
      <c r="E135" s="190"/>
      <c r="F135" s="146"/>
      <c r="G135" s="320">
        <f t="shared" si="1"/>
        <v>9250</v>
      </c>
      <c r="H135" s="204"/>
      <c r="K135" s="151"/>
      <c r="L135" s="150"/>
    </row>
    <row r="136" spans="1:12" x14ac:dyDescent="0.3">
      <c r="A136" s="192"/>
      <c r="B136" s="107">
        <v>129</v>
      </c>
      <c r="C136" s="316" t="s">
        <v>485</v>
      </c>
      <c r="D136" s="48">
        <v>9250</v>
      </c>
      <c r="E136" s="190"/>
      <c r="F136" s="146"/>
      <c r="G136" s="320">
        <f t="shared" si="1"/>
        <v>9250</v>
      </c>
      <c r="H136" s="204"/>
      <c r="K136" s="151"/>
      <c r="L136" s="150"/>
    </row>
    <row r="137" spans="1:12" x14ac:dyDescent="0.3">
      <c r="A137" s="192"/>
      <c r="B137" s="107">
        <v>130</v>
      </c>
      <c r="C137" s="316" t="s">
        <v>488</v>
      </c>
      <c r="D137" s="48">
        <v>9250</v>
      </c>
      <c r="E137" s="190"/>
      <c r="F137" s="146"/>
      <c r="G137" s="320">
        <f t="shared" ref="G137:G196" si="2">D138-E138</f>
        <v>9250</v>
      </c>
      <c r="H137" s="204"/>
      <c r="K137" s="151"/>
      <c r="L137" s="150"/>
    </row>
    <row r="138" spans="1:12" x14ac:dyDescent="0.3">
      <c r="A138" s="192"/>
      <c r="B138" s="107">
        <v>131</v>
      </c>
      <c r="C138" s="316" t="s">
        <v>491</v>
      </c>
      <c r="D138" s="48">
        <v>9250</v>
      </c>
      <c r="E138" s="190"/>
      <c r="F138" s="146"/>
      <c r="G138" s="320">
        <f t="shared" si="2"/>
        <v>9250</v>
      </c>
      <c r="H138" s="204"/>
      <c r="K138" s="151"/>
      <c r="L138" s="150"/>
    </row>
    <row r="139" spans="1:12" x14ac:dyDescent="0.3">
      <c r="A139" s="192"/>
      <c r="B139" s="107">
        <v>132</v>
      </c>
      <c r="C139" s="316" t="s">
        <v>54</v>
      </c>
      <c r="D139" s="48">
        <v>9250</v>
      </c>
      <c r="E139" s="190"/>
      <c r="F139" s="146"/>
      <c r="G139" s="320">
        <f t="shared" si="2"/>
        <v>9250</v>
      </c>
      <c r="H139" s="204"/>
      <c r="K139" s="151"/>
      <c r="L139" s="150"/>
    </row>
    <row r="140" spans="1:12" x14ac:dyDescent="0.3">
      <c r="A140" s="192"/>
      <c r="B140" s="107">
        <v>133</v>
      </c>
      <c r="C140" s="316" t="s">
        <v>55</v>
      </c>
      <c r="D140" s="48">
        <v>9250</v>
      </c>
      <c r="E140" s="190"/>
      <c r="F140" s="146"/>
      <c r="G140" s="320">
        <f t="shared" si="2"/>
        <v>9250</v>
      </c>
      <c r="H140" s="204"/>
      <c r="K140" s="151"/>
      <c r="L140" s="150"/>
    </row>
    <row r="141" spans="1:12" x14ac:dyDescent="0.3">
      <c r="A141" s="192"/>
      <c r="B141" s="107">
        <v>134</v>
      </c>
      <c r="C141" s="316" t="s">
        <v>519</v>
      </c>
      <c r="D141" s="48">
        <v>9250</v>
      </c>
      <c r="E141" s="190"/>
      <c r="F141" s="146"/>
      <c r="G141" s="320">
        <f t="shared" si="2"/>
        <v>9250</v>
      </c>
      <c r="H141" s="204"/>
      <c r="K141" s="151"/>
      <c r="L141" s="150"/>
    </row>
    <row r="142" spans="1:12" x14ac:dyDescent="0.3">
      <c r="A142" s="192"/>
      <c r="B142" s="107">
        <v>135</v>
      </c>
      <c r="C142" s="316" t="s">
        <v>86</v>
      </c>
      <c r="D142" s="48">
        <v>9250</v>
      </c>
      <c r="E142" s="190"/>
      <c r="F142" s="146"/>
      <c r="G142" s="320">
        <f t="shared" si="2"/>
        <v>9250</v>
      </c>
      <c r="H142" s="204"/>
      <c r="K142" s="151"/>
      <c r="L142" s="150"/>
    </row>
    <row r="143" spans="1:12" x14ac:dyDescent="0.3">
      <c r="A143" s="192"/>
      <c r="B143" s="107">
        <v>136</v>
      </c>
      <c r="C143" s="316" t="s">
        <v>52</v>
      </c>
      <c r="D143" s="48">
        <v>9250</v>
      </c>
      <c r="E143" s="190"/>
      <c r="F143" s="146"/>
      <c r="G143" s="320">
        <f t="shared" si="2"/>
        <v>9250</v>
      </c>
      <c r="H143" s="204"/>
      <c r="K143" s="151"/>
      <c r="L143" s="150"/>
    </row>
    <row r="144" spans="1:12" x14ac:dyDescent="0.3">
      <c r="A144" s="192"/>
      <c r="B144" s="107">
        <v>137</v>
      </c>
      <c r="C144" s="317" t="s">
        <v>513</v>
      </c>
      <c r="D144" s="48">
        <v>9250</v>
      </c>
      <c r="E144" s="190"/>
      <c r="F144" s="146"/>
      <c r="G144" s="320">
        <f t="shared" si="2"/>
        <v>9250</v>
      </c>
      <c r="H144" s="204"/>
      <c r="K144" s="151"/>
      <c r="L144" s="150"/>
    </row>
    <row r="145" spans="1:12" x14ac:dyDescent="0.3">
      <c r="A145" s="192"/>
      <c r="B145" s="107">
        <v>138</v>
      </c>
      <c r="C145" s="316" t="s">
        <v>504</v>
      </c>
      <c r="D145" s="48">
        <v>9250</v>
      </c>
      <c r="E145" s="190"/>
      <c r="F145" s="146"/>
      <c r="G145" s="320">
        <f t="shared" si="2"/>
        <v>9250</v>
      </c>
      <c r="H145" s="204"/>
      <c r="K145" s="151"/>
      <c r="L145" s="150"/>
    </row>
    <row r="146" spans="1:12" x14ac:dyDescent="0.3">
      <c r="A146" s="192"/>
      <c r="B146" s="107">
        <v>139</v>
      </c>
      <c r="C146" s="316" t="s">
        <v>1358</v>
      </c>
      <c r="D146" s="48">
        <v>9250</v>
      </c>
      <c r="E146" s="190"/>
      <c r="F146" s="146"/>
      <c r="G146" s="320">
        <f t="shared" si="2"/>
        <v>9250</v>
      </c>
      <c r="H146" s="204"/>
      <c r="K146" s="151"/>
      <c r="L146" s="150"/>
    </row>
    <row r="147" spans="1:12" x14ac:dyDescent="0.3">
      <c r="A147" s="192"/>
      <c r="B147" s="107">
        <v>140</v>
      </c>
      <c r="C147" s="316" t="s">
        <v>515</v>
      </c>
      <c r="D147" s="48">
        <v>9250</v>
      </c>
      <c r="E147" s="190"/>
      <c r="F147" s="146"/>
      <c r="G147" s="320">
        <f t="shared" si="2"/>
        <v>9250</v>
      </c>
      <c r="H147" s="204"/>
      <c r="K147" s="151"/>
      <c r="L147" s="150"/>
    </row>
    <row r="148" spans="1:12" x14ac:dyDescent="0.3">
      <c r="A148" s="192"/>
      <c r="B148" s="107">
        <v>141</v>
      </c>
      <c r="C148" s="316" t="s">
        <v>493</v>
      </c>
      <c r="D148" s="48">
        <v>9250</v>
      </c>
      <c r="E148" s="190"/>
      <c r="F148" s="146"/>
      <c r="G148" s="320">
        <f t="shared" si="2"/>
        <v>9250</v>
      </c>
      <c r="H148" s="204"/>
      <c r="K148" s="151"/>
      <c r="L148" s="150"/>
    </row>
    <row r="149" spans="1:12" x14ac:dyDescent="0.3">
      <c r="A149" s="192"/>
      <c r="B149" s="107">
        <v>142</v>
      </c>
      <c r="C149" s="316" t="s">
        <v>482</v>
      </c>
      <c r="D149" s="48">
        <v>9250</v>
      </c>
      <c r="E149" s="190"/>
      <c r="F149" s="146"/>
      <c r="G149" s="320">
        <f t="shared" si="2"/>
        <v>9250</v>
      </c>
      <c r="H149" s="204"/>
      <c r="K149" s="151"/>
      <c r="L149" s="150"/>
    </row>
    <row r="150" spans="1:12" x14ac:dyDescent="0.3">
      <c r="A150" s="192"/>
      <c r="B150" s="107">
        <v>143</v>
      </c>
      <c r="C150" s="316" t="s">
        <v>62</v>
      </c>
      <c r="D150" s="48">
        <v>9250</v>
      </c>
      <c r="E150" s="190"/>
      <c r="F150" s="146"/>
      <c r="G150" s="320">
        <f t="shared" si="2"/>
        <v>9250</v>
      </c>
      <c r="H150" s="204"/>
      <c r="K150" s="151"/>
      <c r="L150" s="150"/>
    </row>
    <row r="151" spans="1:12" x14ac:dyDescent="0.3">
      <c r="A151" s="192"/>
      <c r="B151" s="107">
        <v>144</v>
      </c>
      <c r="C151" s="316" t="s">
        <v>94</v>
      </c>
      <c r="D151" s="48">
        <v>9250</v>
      </c>
      <c r="E151" s="190"/>
      <c r="F151" s="146"/>
      <c r="G151" s="320">
        <f t="shared" si="2"/>
        <v>9250</v>
      </c>
      <c r="H151" s="204"/>
      <c r="K151" s="151"/>
      <c r="L151" s="150"/>
    </row>
    <row r="152" spans="1:12" x14ac:dyDescent="0.3">
      <c r="A152" s="192"/>
      <c r="B152" s="107">
        <v>145</v>
      </c>
      <c r="C152" s="316" t="s">
        <v>498</v>
      </c>
      <c r="D152" s="48">
        <v>9250</v>
      </c>
      <c r="E152" s="190"/>
      <c r="F152" s="146"/>
      <c r="G152" s="320">
        <f t="shared" si="2"/>
        <v>9250</v>
      </c>
      <c r="H152" s="204"/>
      <c r="K152" s="151"/>
      <c r="L152" s="150"/>
    </row>
    <row r="153" spans="1:12" x14ac:dyDescent="0.3">
      <c r="A153" s="192"/>
      <c r="B153" s="107">
        <v>146</v>
      </c>
      <c r="C153" s="316" t="s">
        <v>96</v>
      </c>
      <c r="D153" s="48">
        <v>9250</v>
      </c>
      <c r="E153" s="190"/>
      <c r="F153" s="146"/>
      <c r="G153" s="320">
        <f t="shared" si="2"/>
        <v>9250</v>
      </c>
      <c r="H153" s="204"/>
      <c r="K153" s="151"/>
      <c r="L153" s="150"/>
    </row>
    <row r="154" spans="1:12" x14ac:dyDescent="0.3">
      <c r="A154" s="192"/>
      <c r="B154" s="107">
        <v>147</v>
      </c>
      <c r="C154" s="316" t="s">
        <v>53</v>
      </c>
      <c r="D154" s="48">
        <v>9250</v>
      </c>
      <c r="E154" s="190"/>
      <c r="F154" s="146"/>
      <c r="G154" s="320">
        <f t="shared" si="2"/>
        <v>9250</v>
      </c>
      <c r="H154" s="204"/>
      <c r="K154" s="151"/>
      <c r="L154" s="150"/>
    </row>
    <row r="155" spans="1:12" x14ac:dyDescent="0.3">
      <c r="A155" s="192"/>
      <c r="B155" s="107">
        <v>148</v>
      </c>
      <c r="C155" s="316" t="s">
        <v>516</v>
      </c>
      <c r="D155" s="48">
        <v>9250</v>
      </c>
      <c r="E155" s="190"/>
      <c r="F155" s="146"/>
      <c r="G155" s="320">
        <f t="shared" si="2"/>
        <v>9250</v>
      </c>
      <c r="H155" s="204"/>
      <c r="K155" s="151"/>
      <c r="L155" s="150"/>
    </row>
    <row r="156" spans="1:12" x14ac:dyDescent="0.3">
      <c r="A156" s="192"/>
      <c r="B156" s="107">
        <v>149</v>
      </c>
      <c r="C156" s="316" t="s">
        <v>509</v>
      </c>
      <c r="D156" s="48">
        <v>9250</v>
      </c>
      <c r="E156" s="190"/>
      <c r="F156" s="146"/>
      <c r="G156" s="320">
        <f t="shared" si="2"/>
        <v>9250</v>
      </c>
      <c r="H156" s="204"/>
      <c r="K156" s="151"/>
      <c r="L156" s="150"/>
    </row>
    <row r="157" spans="1:12" x14ac:dyDescent="0.3">
      <c r="A157" s="192"/>
      <c r="B157" s="107">
        <v>150</v>
      </c>
      <c r="C157" s="316" t="s">
        <v>503</v>
      </c>
      <c r="D157" s="48">
        <v>9250</v>
      </c>
      <c r="E157" s="190"/>
      <c r="F157" s="146"/>
      <c r="G157" s="320">
        <f t="shared" si="2"/>
        <v>9250</v>
      </c>
      <c r="H157" s="204"/>
      <c r="K157" s="151"/>
      <c r="L157" s="150"/>
    </row>
    <row r="158" spans="1:12" x14ac:dyDescent="0.3">
      <c r="A158" s="192"/>
      <c r="B158" s="107">
        <v>151</v>
      </c>
      <c r="C158" s="316" t="s">
        <v>489</v>
      </c>
      <c r="D158" s="48">
        <v>9250</v>
      </c>
      <c r="E158" s="190"/>
      <c r="F158" s="146"/>
      <c r="G158" s="320">
        <f t="shared" si="2"/>
        <v>15250</v>
      </c>
      <c r="H158" s="204"/>
      <c r="K158" s="151"/>
      <c r="L158" s="150"/>
    </row>
    <row r="159" spans="1:12" x14ac:dyDescent="0.3">
      <c r="A159" s="192"/>
      <c r="B159" s="107">
        <v>152</v>
      </c>
      <c r="C159" s="316" t="s">
        <v>88</v>
      </c>
      <c r="D159" s="48">
        <v>15250</v>
      </c>
      <c r="E159" s="190"/>
      <c r="F159" s="146"/>
      <c r="G159" s="320">
        <f t="shared" si="2"/>
        <v>15250</v>
      </c>
      <c r="H159" s="204"/>
      <c r="K159" s="151"/>
      <c r="L159" s="150"/>
    </row>
    <row r="160" spans="1:12" x14ac:dyDescent="0.3">
      <c r="A160" s="192"/>
      <c r="B160" s="107">
        <v>153</v>
      </c>
      <c r="C160" s="316" t="s">
        <v>490</v>
      </c>
      <c r="D160" s="48">
        <v>15250</v>
      </c>
      <c r="E160" s="190"/>
      <c r="F160" s="146"/>
      <c r="G160" s="320">
        <f t="shared" si="2"/>
        <v>15250</v>
      </c>
      <c r="H160" s="204"/>
      <c r="K160" s="151"/>
      <c r="L160" s="150"/>
    </row>
    <row r="161" spans="1:12" x14ac:dyDescent="0.3">
      <c r="A161" s="192"/>
      <c r="B161" s="107">
        <v>154</v>
      </c>
      <c r="C161" s="316" t="s">
        <v>520</v>
      </c>
      <c r="D161" s="48">
        <v>15250</v>
      </c>
      <c r="E161" s="190"/>
      <c r="F161" s="146"/>
      <c r="G161" s="320">
        <f t="shared" si="2"/>
        <v>15250</v>
      </c>
      <c r="H161" s="204"/>
      <c r="K161" s="151"/>
      <c r="L161" s="150"/>
    </row>
    <row r="162" spans="1:12" x14ac:dyDescent="0.3">
      <c r="A162" s="192"/>
      <c r="B162" s="107">
        <v>155</v>
      </c>
      <c r="C162" s="316" t="s">
        <v>514</v>
      </c>
      <c r="D162" s="48">
        <v>15250</v>
      </c>
      <c r="E162" s="190"/>
      <c r="F162" s="146"/>
      <c r="G162" s="320">
        <f t="shared" si="2"/>
        <v>15250</v>
      </c>
      <c r="H162" s="204"/>
      <c r="K162" s="151"/>
      <c r="L162" s="150"/>
    </row>
    <row r="163" spans="1:12" x14ac:dyDescent="0.3">
      <c r="A163" s="192"/>
      <c r="B163" s="107">
        <v>156</v>
      </c>
      <c r="C163" s="316" t="s">
        <v>524</v>
      </c>
      <c r="D163" s="48">
        <v>15250</v>
      </c>
      <c r="E163" s="190"/>
      <c r="F163" s="146"/>
      <c r="G163" s="320">
        <f t="shared" si="2"/>
        <v>15250</v>
      </c>
      <c r="H163" s="204"/>
      <c r="K163" s="151"/>
      <c r="L163" s="150"/>
    </row>
    <row r="164" spans="1:12" x14ac:dyDescent="0.3">
      <c r="A164" s="192"/>
      <c r="B164" s="107">
        <v>157</v>
      </c>
      <c r="C164" s="316" t="s">
        <v>84</v>
      </c>
      <c r="D164" s="48">
        <v>15250</v>
      </c>
      <c r="E164" s="190"/>
      <c r="F164" s="146"/>
      <c r="G164" s="320">
        <f t="shared" si="2"/>
        <v>15250</v>
      </c>
      <c r="H164" s="204"/>
      <c r="K164" s="151"/>
      <c r="L164" s="150"/>
    </row>
    <row r="165" spans="1:12" x14ac:dyDescent="0.3">
      <c r="A165" s="192"/>
      <c r="B165" s="107">
        <v>158</v>
      </c>
      <c r="C165" s="316" t="s">
        <v>492</v>
      </c>
      <c r="D165" s="48">
        <v>15250</v>
      </c>
      <c r="E165" s="190"/>
      <c r="F165" s="146"/>
      <c r="G165" s="320">
        <f t="shared" si="2"/>
        <v>15250</v>
      </c>
      <c r="H165" s="204"/>
      <c r="K165" s="151"/>
      <c r="L165" s="150"/>
    </row>
    <row r="166" spans="1:12" x14ac:dyDescent="0.3">
      <c r="A166" s="192"/>
      <c r="B166" s="107">
        <v>159</v>
      </c>
      <c r="C166" s="316" t="s">
        <v>521</v>
      </c>
      <c r="D166" s="48">
        <v>15250</v>
      </c>
      <c r="E166" s="190"/>
      <c r="F166" s="146"/>
      <c r="G166" s="320">
        <f t="shared" si="2"/>
        <v>9250</v>
      </c>
      <c r="H166" s="204"/>
      <c r="K166" s="151"/>
      <c r="L166" s="150"/>
    </row>
    <row r="167" spans="1:12" x14ac:dyDescent="0.3">
      <c r="A167" s="192"/>
      <c r="B167" s="107">
        <v>160</v>
      </c>
      <c r="C167" s="316" t="s">
        <v>534</v>
      </c>
      <c r="D167" s="48">
        <v>9250</v>
      </c>
      <c r="E167" s="190"/>
      <c r="F167" s="146"/>
      <c r="G167" s="320">
        <f t="shared" si="2"/>
        <v>9250</v>
      </c>
      <c r="H167" s="204"/>
      <c r="K167" s="151"/>
      <c r="L167" s="150"/>
    </row>
    <row r="168" spans="1:12" x14ac:dyDescent="0.3">
      <c r="A168" s="192"/>
      <c r="B168" s="107">
        <v>161</v>
      </c>
      <c r="C168" s="316" t="s">
        <v>539</v>
      </c>
      <c r="D168" s="48">
        <v>9250</v>
      </c>
      <c r="E168" s="190"/>
      <c r="F168" s="146"/>
      <c r="G168" s="320">
        <f t="shared" si="2"/>
        <v>9250</v>
      </c>
      <c r="H168" s="204"/>
      <c r="K168" s="151"/>
      <c r="L168" s="150"/>
    </row>
    <row r="169" spans="1:12" x14ac:dyDescent="0.3">
      <c r="A169" s="192"/>
      <c r="B169" s="107">
        <v>162</v>
      </c>
      <c r="C169" s="316" t="s">
        <v>540</v>
      </c>
      <c r="D169" s="48">
        <v>9250</v>
      </c>
      <c r="E169" s="190"/>
      <c r="F169" s="146"/>
      <c r="G169" s="320">
        <f t="shared" si="2"/>
        <v>9250</v>
      </c>
      <c r="H169" s="204"/>
      <c r="K169" s="151"/>
      <c r="L169" s="150"/>
    </row>
    <row r="170" spans="1:12" x14ac:dyDescent="0.3">
      <c r="A170" s="192"/>
      <c r="B170" s="107">
        <v>163</v>
      </c>
      <c r="C170" s="316" t="s">
        <v>57</v>
      </c>
      <c r="D170" s="48">
        <v>9250</v>
      </c>
      <c r="E170" s="190"/>
      <c r="F170" s="146"/>
      <c r="G170" s="320">
        <f t="shared" si="2"/>
        <v>9250</v>
      </c>
      <c r="H170" s="204"/>
      <c r="K170" s="151"/>
      <c r="L170" s="150"/>
    </row>
    <row r="171" spans="1:12" x14ac:dyDescent="0.3">
      <c r="A171" s="192"/>
      <c r="B171" s="107">
        <v>164</v>
      </c>
      <c r="C171" s="316" t="s">
        <v>531</v>
      </c>
      <c r="D171" s="48">
        <v>9250</v>
      </c>
      <c r="E171" s="190"/>
      <c r="F171" s="146"/>
      <c r="G171" s="320">
        <f t="shared" si="2"/>
        <v>9250</v>
      </c>
      <c r="H171" s="204"/>
      <c r="K171" s="151"/>
      <c r="L171" s="150"/>
    </row>
    <row r="172" spans="1:12" x14ac:dyDescent="0.3">
      <c r="A172" s="192"/>
      <c r="B172" s="107">
        <v>165</v>
      </c>
      <c r="C172" s="316" t="s">
        <v>529</v>
      </c>
      <c r="D172" s="48">
        <v>9250</v>
      </c>
      <c r="E172" s="190"/>
      <c r="F172" s="146"/>
      <c r="G172" s="320">
        <f t="shared" si="2"/>
        <v>9250</v>
      </c>
      <c r="H172" s="204"/>
      <c r="K172" s="151"/>
      <c r="L172" s="150"/>
    </row>
    <row r="173" spans="1:12" x14ac:dyDescent="0.3">
      <c r="A173" s="192"/>
      <c r="B173" s="107">
        <v>166</v>
      </c>
      <c r="C173" s="316" t="s">
        <v>538</v>
      </c>
      <c r="D173" s="48">
        <v>9250</v>
      </c>
      <c r="E173" s="190"/>
      <c r="F173" s="146"/>
      <c r="G173" s="320">
        <f t="shared" si="2"/>
        <v>9250</v>
      </c>
      <c r="H173" s="204"/>
      <c r="K173" s="151"/>
      <c r="L173" s="150"/>
    </row>
    <row r="174" spans="1:12" x14ac:dyDescent="0.3">
      <c r="A174" s="192"/>
      <c r="B174" s="107">
        <v>167</v>
      </c>
      <c r="C174" s="316" t="s">
        <v>30</v>
      </c>
      <c r="D174" s="48">
        <v>9250</v>
      </c>
      <c r="E174" s="190"/>
      <c r="F174" s="146"/>
      <c r="G174" s="320">
        <f t="shared" si="2"/>
        <v>9250</v>
      </c>
      <c r="H174" s="204"/>
      <c r="K174" s="151"/>
      <c r="L174" s="150"/>
    </row>
    <row r="175" spans="1:12" x14ac:dyDescent="0.3">
      <c r="A175" s="192"/>
      <c r="B175" s="107">
        <v>168</v>
      </c>
      <c r="C175" s="316" t="s">
        <v>60</v>
      </c>
      <c r="D175" s="48">
        <v>9250</v>
      </c>
      <c r="E175" s="190"/>
      <c r="F175" s="146"/>
      <c r="G175" s="320">
        <f t="shared" si="2"/>
        <v>9250</v>
      </c>
      <c r="H175" s="204"/>
      <c r="K175" s="151"/>
      <c r="L175" s="150"/>
    </row>
    <row r="176" spans="1:12" x14ac:dyDescent="0.3">
      <c r="A176" s="192"/>
      <c r="B176" s="107">
        <v>169</v>
      </c>
      <c r="C176" s="316" t="s">
        <v>99</v>
      </c>
      <c r="D176" s="48">
        <v>9250</v>
      </c>
      <c r="E176" s="190"/>
      <c r="F176" s="146"/>
      <c r="G176" s="320">
        <f t="shared" si="2"/>
        <v>9250</v>
      </c>
      <c r="H176" s="204"/>
      <c r="K176" s="151"/>
      <c r="L176" s="150"/>
    </row>
    <row r="177" spans="1:12" x14ac:dyDescent="0.3">
      <c r="A177" s="192"/>
      <c r="B177" s="107">
        <v>170</v>
      </c>
      <c r="C177" s="316" t="s">
        <v>535</v>
      </c>
      <c r="D177" s="48">
        <v>9250</v>
      </c>
      <c r="E177" s="190"/>
      <c r="F177" s="146"/>
      <c r="G177" s="320">
        <f t="shared" si="2"/>
        <v>9250</v>
      </c>
      <c r="H177" s="204"/>
      <c r="K177" s="151"/>
      <c r="L177" s="150"/>
    </row>
    <row r="178" spans="1:12" x14ac:dyDescent="0.3">
      <c r="A178" s="192"/>
      <c r="B178" s="107">
        <v>171</v>
      </c>
      <c r="C178" s="316" t="s">
        <v>71</v>
      </c>
      <c r="D178" s="48">
        <v>9250</v>
      </c>
      <c r="E178" s="190"/>
      <c r="F178" s="146"/>
      <c r="G178" s="320">
        <f t="shared" si="2"/>
        <v>9250</v>
      </c>
      <c r="H178" s="204"/>
      <c r="K178" s="151"/>
      <c r="L178" s="150"/>
    </row>
    <row r="179" spans="1:12" x14ac:dyDescent="0.3">
      <c r="A179" s="192"/>
      <c r="B179" s="107">
        <v>172</v>
      </c>
      <c r="C179" s="316" t="s">
        <v>72</v>
      </c>
      <c r="D179" s="48">
        <v>9250</v>
      </c>
      <c r="E179" s="190"/>
      <c r="F179" s="146"/>
      <c r="G179" s="320">
        <f t="shared" si="2"/>
        <v>9250</v>
      </c>
      <c r="H179" s="204"/>
      <c r="K179" s="151"/>
      <c r="L179" s="150"/>
    </row>
    <row r="180" spans="1:12" x14ac:dyDescent="0.3">
      <c r="A180" s="192"/>
      <c r="B180" s="107">
        <v>173</v>
      </c>
      <c r="C180" s="316" t="s">
        <v>58</v>
      </c>
      <c r="D180" s="48">
        <v>9250</v>
      </c>
      <c r="E180" s="190"/>
      <c r="F180" s="146"/>
      <c r="G180" s="320">
        <f t="shared" si="2"/>
        <v>9250</v>
      </c>
      <c r="H180" s="204"/>
      <c r="K180" s="151"/>
      <c r="L180" s="150"/>
    </row>
    <row r="181" spans="1:12" x14ac:dyDescent="0.3">
      <c r="A181" s="192"/>
      <c r="B181" s="107">
        <v>174</v>
      </c>
      <c r="C181" s="316" t="s">
        <v>527</v>
      </c>
      <c r="D181" s="48">
        <v>9250</v>
      </c>
      <c r="E181" s="190"/>
      <c r="F181" s="146"/>
      <c r="G181" s="320">
        <f t="shared" si="2"/>
        <v>9250</v>
      </c>
      <c r="H181" s="204"/>
      <c r="K181" s="151"/>
      <c r="L181" s="150"/>
    </row>
    <row r="182" spans="1:12" x14ac:dyDescent="0.3">
      <c r="A182" s="192"/>
      <c r="B182" s="107">
        <v>175</v>
      </c>
      <c r="C182" s="316" t="s">
        <v>528</v>
      </c>
      <c r="D182" s="48">
        <v>9250</v>
      </c>
      <c r="E182" s="190"/>
      <c r="F182" s="146"/>
      <c r="G182" s="320">
        <f t="shared" si="2"/>
        <v>9250</v>
      </c>
      <c r="H182" s="204"/>
      <c r="K182" s="151"/>
      <c r="L182" s="150"/>
    </row>
    <row r="183" spans="1:12" x14ac:dyDescent="0.3">
      <c r="A183" s="192"/>
      <c r="B183" s="107">
        <v>176</v>
      </c>
      <c r="C183" s="316" t="s">
        <v>541</v>
      </c>
      <c r="D183" s="48">
        <v>9250</v>
      </c>
      <c r="E183" s="190"/>
      <c r="F183" s="146"/>
      <c r="G183" s="320">
        <f t="shared" si="2"/>
        <v>9250</v>
      </c>
      <c r="H183" s="204"/>
      <c r="K183" s="151"/>
      <c r="L183" s="150"/>
    </row>
    <row r="184" spans="1:12" x14ac:dyDescent="0.3">
      <c r="A184" s="192"/>
      <c r="B184" s="107">
        <v>177</v>
      </c>
      <c r="C184" s="316" t="s">
        <v>526</v>
      </c>
      <c r="D184" s="48">
        <v>9250</v>
      </c>
      <c r="E184" s="190"/>
      <c r="F184" s="146"/>
      <c r="G184" s="320">
        <f t="shared" si="2"/>
        <v>9250</v>
      </c>
      <c r="H184" s="204"/>
      <c r="K184" s="151"/>
      <c r="L184" s="150"/>
    </row>
    <row r="185" spans="1:12" x14ac:dyDescent="0.3">
      <c r="A185" s="192"/>
      <c r="B185" s="107">
        <v>178</v>
      </c>
      <c r="C185" s="316" t="s">
        <v>70</v>
      </c>
      <c r="D185" s="48">
        <v>9250</v>
      </c>
      <c r="E185" s="190"/>
      <c r="F185" s="146"/>
      <c r="G185" s="320">
        <f t="shared" si="2"/>
        <v>9250</v>
      </c>
      <c r="H185" s="204"/>
      <c r="K185" s="151"/>
      <c r="L185" s="150"/>
    </row>
    <row r="186" spans="1:12" x14ac:dyDescent="0.3">
      <c r="A186" s="192"/>
      <c r="B186" s="107">
        <v>179</v>
      </c>
      <c r="C186" s="316" t="s">
        <v>97</v>
      </c>
      <c r="D186" s="48">
        <v>9250</v>
      </c>
      <c r="E186" s="190"/>
      <c r="F186" s="146"/>
      <c r="G186" s="320">
        <f t="shared" si="2"/>
        <v>9250</v>
      </c>
      <c r="H186" s="204"/>
      <c r="K186" s="151"/>
      <c r="L186" s="150"/>
    </row>
    <row r="187" spans="1:12" x14ac:dyDescent="0.3">
      <c r="A187" s="192"/>
      <c r="B187" s="107">
        <v>180</v>
      </c>
      <c r="C187" s="316" t="s">
        <v>543</v>
      </c>
      <c r="D187" s="48">
        <v>9250</v>
      </c>
      <c r="E187" s="190"/>
      <c r="F187" s="146"/>
      <c r="G187" s="320">
        <f t="shared" si="2"/>
        <v>9250</v>
      </c>
      <c r="H187" s="204"/>
      <c r="K187" s="151"/>
      <c r="L187" s="150"/>
    </row>
    <row r="188" spans="1:12" x14ac:dyDescent="0.3">
      <c r="A188" s="192"/>
      <c r="B188" s="107">
        <v>181</v>
      </c>
      <c r="C188" s="316" t="s">
        <v>542</v>
      </c>
      <c r="D188" s="48">
        <v>9250</v>
      </c>
      <c r="E188" s="190"/>
      <c r="F188" s="146"/>
      <c r="G188" s="320">
        <f t="shared" si="2"/>
        <v>9250</v>
      </c>
      <c r="H188" s="204"/>
      <c r="K188" s="151"/>
      <c r="L188" s="150"/>
    </row>
    <row r="189" spans="1:12" x14ac:dyDescent="0.3">
      <c r="A189" s="192"/>
      <c r="B189" s="107">
        <v>182</v>
      </c>
      <c r="C189" s="316" t="s">
        <v>68</v>
      </c>
      <c r="D189" s="48">
        <v>9250</v>
      </c>
      <c r="E189" s="190"/>
      <c r="F189" s="146"/>
      <c r="G189" s="320">
        <f t="shared" si="2"/>
        <v>9250</v>
      </c>
      <c r="H189" s="204"/>
      <c r="K189" s="151"/>
      <c r="L189" s="150"/>
    </row>
    <row r="190" spans="1:12" x14ac:dyDescent="0.3">
      <c r="A190" s="192"/>
      <c r="B190" s="107">
        <v>183</v>
      </c>
      <c r="C190" s="316" t="s">
        <v>69</v>
      </c>
      <c r="D190" s="48">
        <v>9250</v>
      </c>
      <c r="E190" s="190"/>
      <c r="F190" s="146"/>
      <c r="G190" s="320">
        <f t="shared" si="2"/>
        <v>9250</v>
      </c>
      <c r="H190" s="204"/>
      <c r="K190" s="151"/>
      <c r="L190" s="150"/>
    </row>
    <row r="191" spans="1:12" x14ac:dyDescent="0.3">
      <c r="A191" s="192"/>
      <c r="B191" s="107">
        <v>184</v>
      </c>
      <c r="C191" s="316" t="s">
        <v>75</v>
      </c>
      <c r="D191" s="48">
        <v>9250</v>
      </c>
      <c r="E191" s="190"/>
      <c r="F191" s="146"/>
      <c r="G191" s="320">
        <f t="shared" si="2"/>
        <v>9250</v>
      </c>
      <c r="H191" s="204"/>
      <c r="K191" s="151"/>
      <c r="L191" s="150"/>
    </row>
    <row r="192" spans="1:12" x14ac:dyDescent="0.3">
      <c r="A192" s="192"/>
      <c r="B192" s="107">
        <v>185</v>
      </c>
      <c r="C192" s="316" t="s">
        <v>536</v>
      </c>
      <c r="D192" s="48">
        <v>9250</v>
      </c>
      <c r="E192" s="190"/>
      <c r="F192" s="146"/>
      <c r="G192" s="320">
        <f t="shared" si="2"/>
        <v>9250</v>
      </c>
      <c r="H192" s="204"/>
      <c r="K192" s="151"/>
      <c r="L192" s="150"/>
    </row>
    <row r="193" spans="1:15" x14ac:dyDescent="0.3">
      <c r="A193" s="192"/>
      <c r="B193" s="107">
        <v>186</v>
      </c>
      <c r="C193" s="316" t="s">
        <v>73</v>
      </c>
      <c r="D193" s="48">
        <v>9250</v>
      </c>
      <c r="E193" s="190"/>
      <c r="F193" s="146"/>
      <c r="G193" s="320">
        <f t="shared" si="2"/>
        <v>9250</v>
      </c>
      <c r="H193" s="204"/>
      <c r="K193" s="151"/>
      <c r="L193" s="150"/>
    </row>
    <row r="194" spans="1:15" x14ac:dyDescent="0.3">
      <c r="A194" s="192"/>
      <c r="B194" s="107">
        <v>187</v>
      </c>
      <c r="C194" s="316" t="s">
        <v>74</v>
      </c>
      <c r="D194" s="48">
        <v>9250</v>
      </c>
      <c r="E194" s="190"/>
      <c r="F194" s="146"/>
      <c r="G194" s="320">
        <f t="shared" si="2"/>
        <v>15250</v>
      </c>
      <c r="H194" s="204"/>
      <c r="K194" s="151"/>
      <c r="L194" s="150"/>
    </row>
    <row r="195" spans="1:15" x14ac:dyDescent="0.3">
      <c r="A195" s="192"/>
      <c r="B195" s="107">
        <v>188</v>
      </c>
      <c r="C195" s="316" t="s">
        <v>533</v>
      </c>
      <c r="D195" s="48">
        <v>15250</v>
      </c>
      <c r="E195" s="190"/>
      <c r="F195" s="146"/>
      <c r="G195" s="320">
        <f t="shared" si="2"/>
        <v>15250</v>
      </c>
      <c r="H195" s="204"/>
      <c r="K195" s="151"/>
      <c r="L195" s="150"/>
    </row>
    <row r="196" spans="1:15" x14ac:dyDescent="0.3">
      <c r="A196" s="192"/>
      <c r="B196" s="107">
        <v>189</v>
      </c>
      <c r="C196" s="316" t="s">
        <v>530</v>
      </c>
      <c r="D196" s="48">
        <v>15250</v>
      </c>
      <c r="E196" s="190"/>
      <c r="F196" s="146"/>
      <c r="G196" s="320">
        <f t="shared" si="2"/>
        <v>15250</v>
      </c>
      <c r="H196" s="204"/>
      <c r="K196" s="151"/>
      <c r="L196" s="150"/>
    </row>
    <row r="197" spans="1:15" x14ac:dyDescent="0.3">
      <c r="A197" s="192"/>
      <c r="B197" s="107">
        <v>190</v>
      </c>
      <c r="C197" s="316" t="s">
        <v>63</v>
      </c>
      <c r="D197" s="48">
        <v>15250</v>
      </c>
      <c r="E197" s="190"/>
      <c r="F197" s="146"/>
      <c r="G197" s="320">
        <v>15250</v>
      </c>
      <c r="H197" s="204"/>
      <c r="K197" s="151"/>
      <c r="L197" s="150"/>
    </row>
    <row r="198" spans="1:15" x14ac:dyDescent="0.3">
      <c r="A198" s="192"/>
      <c r="B198" s="107"/>
      <c r="C198" s="277"/>
      <c r="D198" s="154"/>
      <c r="E198" s="190"/>
      <c r="F198" s="146"/>
      <c r="G198" s="320"/>
      <c r="H198" s="204"/>
      <c r="K198" s="151"/>
      <c r="L198" s="150"/>
    </row>
    <row r="199" spans="1:15" x14ac:dyDescent="0.3">
      <c r="A199" s="192"/>
      <c r="B199" s="107"/>
      <c r="C199" s="235" t="s">
        <v>1359</v>
      </c>
      <c r="D199" s="108">
        <v>27750</v>
      </c>
      <c r="E199" s="190"/>
      <c r="F199" s="146"/>
      <c r="G199" s="320">
        <f>D199</f>
        <v>27750</v>
      </c>
      <c r="H199" s="204"/>
      <c r="K199" s="151"/>
      <c r="L199" s="150"/>
    </row>
    <row r="200" spans="1:15" x14ac:dyDescent="0.3">
      <c r="A200" s="192"/>
      <c r="B200" s="107"/>
      <c r="C200" s="234"/>
      <c r="D200" s="146"/>
      <c r="E200" s="101"/>
      <c r="F200" s="101"/>
      <c r="G200" s="320"/>
      <c r="H200" s="162"/>
      <c r="K200" s="151"/>
      <c r="L200" s="150"/>
    </row>
    <row r="201" spans="1:15" ht="19.5" thickBot="1" x14ac:dyDescent="0.35">
      <c r="A201" s="118"/>
      <c r="B201" s="155"/>
      <c r="C201" s="236" t="s">
        <v>102</v>
      </c>
      <c r="D201" s="182">
        <f>SUM(D8:D200)</f>
        <v>1905250</v>
      </c>
      <c r="E201" s="182">
        <f>SUM(E7:E200)</f>
        <v>0</v>
      </c>
      <c r="F201" s="182">
        <f>SUM(F7:F200)</f>
        <v>0</v>
      </c>
      <c r="G201" s="321">
        <f>D201-E201-F201</f>
        <v>1905250</v>
      </c>
      <c r="H201" s="104"/>
      <c r="K201" s="151"/>
      <c r="L201" s="150"/>
    </row>
    <row r="202" spans="1:15" ht="19.5" thickTop="1" x14ac:dyDescent="0.3">
      <c r="D202" s="149"/>
      <c r="F202" s="189"/>
      <c r="G202" s="322"/>
      <c r="J202" s="167"/>
      <c r="K202" s="151"/>
      <c r="L202" s="150"/>
    </row>
    <row r="203" spans="1:15" x14ac:dyDescent="0.3">
      <c r="D203" s="149"/>
      <c r="E203" s="144"/>
      <c r="F203" s="176"/>
      <c r="G203" s="9"/>
      <c r="J203" s="167"/>
    </row>
    <row r="204" spans="1:15" x14ac:dyDescent="0.3">
      <c r="D204" s="149"/>
      <c r="E204" s="144"/>
      <c r="G204" s="9"/>
      <c r="J204" s="144"/>
      <c r="M204" s="144"/>
    </row>
    <row r="205" spans="1:15" x14ac:dyDescent="0.3">
      <c r="C205" s="51"/>
      <c r="E205" s="144"/>
      <c r="G205" s="51"/>
      <c r="M205" s="144"/>
    </row>
    <row r="206" spans="1:15" x14ac:dyDescent="0.3">
      <c r="C206" s="51"/>
      <c r="E206" s="176"/>
      <c r="G206" s="51"/>
      <c r="M206" s="176"/>
      <c r="O206" s="176"/>
    </row>
    <row r="207" spans="1:15" x14ac:dyDescent="0.3">
      <c r="E207" s="151"/>
      <c r="F207" s="144"/>
      <c r="G207" s="51"/>
      <c r="M207" s="144"/>
      <c r="N207" s="144"/>
      <c r="O207" s="176"/>
    </row>
    <row r="208" spans="1:15" x14ac:dyDescent="0.3">
      <c r="B208" s="150"/>
      <c r="C208" s="67"/>
      <c r="D208" s="183"/>
      <c r="E208" s="184"/>
      <c r="G208" s="323"/>
      <c r="O208" s="185"/>
    </row>
    <row r="209" spans="2:15" x14ac:dyDescent="0.3">
      <c r="B209" s="150"/>
      <c r="C209" s="5"/>
      <c r="D209" s="152"/>
      <c r="E209" s="151"/>
    </row>
    <row r="210" spans="2:15" x14ac:dyDescent="0.3">
      <c r="B210" s="150"/>
      <c r="C210" s="5"/>
      <c r="D210" s="152"/>
      <c r="E210" s="151"/>
      <c r="G210" s="9"/>
      <c r="O210" s="144"/>
    </row>
    <row r="211" spans="2:15" x14ac:dyDescent="0.3">
      <c r="B211" s="150"/>
      <c r="C211" s="5"/>
      <c r="D211" s="152"/>
      <c r="E211" s="151"/>
      <c r="G211" s="9"/>
    </row>
    <row r="212" spans="2:15" x14ac:dyDescent="0.3">
      <c r="B212" s="150"/>
      <c r="C212" s="5"/>
      <c r="D212" s="186"/>
      <c r="E212" s="158"/>
    </row>
    <row r="213" spans="2:15" x14ac:dyDescent="0.3">
      <c r="B213" s="150"/>
      <c r="C213" s="5"/>
      <c r="D213" s="150"/>
      <c r="E213" s="151"/>
    </row>
    <row r="214" spans="2:15" x14ac:dyDescent="0.3">
      <c r="B214" s="150"/>
      <c r="C214" s="5"/>
      <c r="D214" s="150"/>
      <c r="E214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workbookViewId="0">
      <selection activeCell="O10" sqref="O10"/>
    </sheetView>
  </sheetViews>
  <sheetFormatPr defaultRowHeight="17.25" x14ac:dyDescent="0.3"/>
  <cols>
    <col min="1" max="1" width="8.140625" style="28" customWidth="1"/>
    <col min="2" max="2" width="7.85546875" style="88" bestFit="1" customWidth="1"/>
    <col min="3" max="3" width="28.42578125" style="88" customWidth="1"/>
    <col min="4" max="4" width="10.7109375" style="88" customWidth="1"/>
    <col min="5" max="5" width="11.140625" style="88" customWidth="1"/>
    <col min="6" max="6" width="6.28515625" style="88" customWidth="1"/>
    <col min="7" max="7" width="11.5703125" style="144" customWidth="1"/>
    <col min="8" max="8" width="15.7109375" style="88" customWidth="1"/>
    <col min="9" max="16384" width="9.140625" style="88"/>
  </cols>
  <sheetData>
    <row r="1" spans="1:8" x14ac:dyDescent="0.3">
      <c r="A1" s="335" t="s">
        <v>190</v>
      </c>
      <c r="B1" s="335"/>
      <c r="C1" s="335"/>
      <c r="D1" s="335"/>
      <c r="E1" s="335"/>
      <c r="F1" s="335"/>
      <c r="G1" s="335"/>
      <c r="H1" s="335"/>
    </row>
    <row r="2" spans="1:8" x14ac:dyDescent="0.3">
      <c r="A2" s="335" t="s">
        <v>1468</v>
      </c>
      <c r="B2" s="335"/>
      <c r="C2" s="335"/>
      <c r="D2" s="335"/>
      <c r="E2" s="335"/>
      <c r="F2" s="335"/>
      <c r="G2" s="335"/>
      <c r="H2" s="335"/>
    </row>
    <row r="3" spans="1:8" ht="18.75" x14ac:dyDescent="0.3">
      <c r="A3" s="111" t="s">
        <v>110</v>
      </c>
      <c r="B3" s="87"/>
      <c r="C3" s="87"/>
      <c r="D3" s="87"/>
      <c r="E3" s="164"/>
      <c r="F3" s="87" t="s">
        <v>409</v>
      </c>
      <c r="G3" s="267" t="s">
        <v>5</v>
      </c>
      <c r="H3" s="245" t="s">
        <v>408</v>
      </c>
    </row>
    <row r="4" spans="1:8" x14ac:dyDescent="0.3">
      <c r="A4" s="191" t="s">
        <v>16</v>
      </c>
      <c r="B4" s="168" t="s">
        <v>12</v>
      </c>
      <c r="C4" s="91" t="s">
        <v>4</v>
      </c>
      <c r="D4" s="92" t="s">
        <v>15</v>
      </c>
      <c r="E4" s="92" t="s">
        <v>1</v>
      </c>
      <c r="F4" s="92" t="s">
        <v>32</v>
      </c>
      <c r="G4" s="268" t="s">
        <v>2</v>
      </c>
      <c r="H4" s="91" t="s">
        <v>3</v>
      </c>
    </row>
    <row r="5" spans="1:8" x14ac:dyDescent="0.3">
      <c r="A5" s="115"/>
      <c r="B5" s="94"/>
      <c r="C5" s="95"/>
      <c r="D5" s="96" t="s">
        <v>0</v>
      </c>
      <c r="E5" s="96"/>
      <c r="F5" s="96" t="s">
        <v>33</v>
      </c>
      <c r="G5" s="269"/>
      <c r="H5" s="170"/>
    </row>
    <row r="6" spans="1:8" x14ac:dyDescent="0.3">
      <c r="A6" s="192" t="s">
        <v>410</v>
      </c>
      <c r="B6" s="100" t="s">
        <v>184</v>
      </c>
      <c r="C6" s="50" t="s">
        <v>411</v>
      </c>
      <c r="D6" s="103">
        <v>2271000</v>
      </c>
      <c r="E6" s="103">
        <v>200455.94</v>
      </c>
      <c r="F6" s="103"/>
      <c r="G6" s="161">
        <f>D6</f>
        <v>2271000</v>
      </c>
      <c r="H6" s="85" t="s">
        <v>297</v>
      </c>
    </row>
    <row r="7" spans="1:8" x14ac:dyDescent="0.3">
      <c r="A7" s="192"/>
      <c r="B7" s="100"/>
      <c r="C7" s="50"/>
      <c r="D7" s="103"/>
      <c r="E7" s="103"/>
      <c r="F7" s="103"/>
      <c r="G7" s="161"/>
      <c r="H7" s="104"/>
    </row>
    <row r="8" spans="1:8" x14ac:dyDescent="0.3">
      <c r="A8" s="192"/>
      <c r="B8" s="100"/>
      <c r="C8" s="50" t="s">
        <v>412</v>
      </c>
      <c r="D8" s="103">
        <v>45000</v>
      </c>
      <c r="E8" s="103"/>
      <c r="F8" s="103"/>
      <c r="G8" s="161">
        <f>D8</f>
        <v>45000</v>
      </c>
      <c r="H8" s="104"/>
    </row>
    <row r="9" spans="1:8" x14ac:dyDescent="0.3">
      <c r="A9" s="105" t="s">
        <v>235</v>
      </c>
      <c r="B9" s="107" t="s">
        <v>240</v>
      </c>
      <c r="C9" s="50" t="s">
        <v>241</v>
      </c>
      <c r="D9" s="103"/>
      <c r="E9" s="103">
        <v>1915.3</v>
      </c>
      <c r="F9" s="101"/>
      <c r="G9" s="161">
        <f t="shared" ref="G9:G20" si="0">G8-E9</f>
        <v>43084.7</v>
      </c>
      <c r="H9" s="85"/>
    </row>
    <row r="10" spans="1:8" x14ac:dyDescent="0.3">
      <c r="A10" s="105" t="s">
        <v>375</v>
      </c>
      <c r="B10" s="107" t="s">
        <v>548</v>
      </c>
      <c r="C10" s="50" t="s">
        <v>549</v>
      </c>
      <c r="D10" s="103"/>
      <c r="E10" s="103">
        <v>1915.3</v>
      </c>
      <c r="F10" s="101"/>
      <c r="G10" s="161">
        <f t="shared" si="0"/>
        <v>41169.399999999994</v>
      </c>
      <c r="H10" s="85"/>
    </row>
    <row r="11" spans="1:8" x14ac:dyDescent="0.3">
      <c r="A11" s="105" t="s">
        <v>638</v>
      </c>
      <c r="B11" s="107" t="s">
        <v>646</v>
      </c>
      <c r="C11" s="50" t="s">
        <v>645</v>
      </c>
      <c r="D11" s="103"/>
      <c r="E11" s="103">
        <v>1915.3</v>
      </c>
      <c r="F11" s="101"/>
      <c r="G11" s="161">
        <f t="shared" si="0"/>
        <v>39254.099999999991</v>
      </c>
      <c r="H11" s="85"/>
    </row>
    <row r="12" spans="1:8" x14ac:dyDescent="0.3">
      <c r="A12" s="105" t="s">
        <v>795</v>
      </c>
      <c r="B12" s="107" t="s">
        <v>810</v>
      </c>
      <c r="C12" s="50" t="s">
        <v>809</v>
      </c>
      <c r="D12" s="103"/>
      <c r="E12" s="103">
        <v>4708</v>
      </c>
      <c r="F12" s="101"/>
      <c r="G12" s="161">
        <f t="shared" si="0"/>
        <v>34546.099999999991</v>
      </c>
      <c r="H12" s="85" t="s">
        <v>901</v>
      </c>
    </row>
    <row r="13" spans="1:8" x14ac:dyDescent="0.3">
      <c r="A13" s="105" t="s">
        <v>902</v>
      </c>
      <c r="B13" s="107" t="s">
        <v>903</v>
      </c>
      <c r="C13" s="50" t="s">
        <v>809</v>
      </c>
      <c r="D13" s="103"/>
      <c r="E13" s="103">
        <v>1915.3</v>
      </c>
      <c r="F13" s="101"/>
      <c r="G13" s="161">
        <f t="shared" si="0"/>
        <v>32630.799999999992</v>
      </c>
      <c r="H13" s="85"/>
    </row>
    <row r="14" spans="1:8" x14ac:dyDescent="0.3">
      <c r="A14" s="105" t="s">
        <v>1019</v>
      </c>
      <c r="B14" s="107" t="s">
        <v>1020</v>
      </c>
      <c r="C14" s="50" t="s">
        <v>1021</v>
      </c>
      <c r="D14" s="103"/>
      <c r="E14" s="103">
        <v>4708</v>
      </c>
      <c r="F14" s="101"/>
      <c r="G14" s="161">
        <f t="shared" si="0"/>
        <v>27922.799999999992</v>
      </c>
      <c r="H14" s="85"/>
    </row>
    <row r="15" spans="1:8" x14ac:dyDescent="0.3">
      <c r="A15" s="105" t="s">
        <v>1054</v>
      </c>
      <c r="B15" s="107" t="s">
        <v>1069</v>
      </c>
      <c r="C15" s="50" t="s">
        <v>1021</v>
      </c>
      <c r="D15" s="103"/>
      <c r="E15" s="103">
        <v>1915.3</v>
      </c>
      <c r="F15" s="101"/>
      <c r="G15" s="161">
        <f t="shared" si="0"/>
        <v>26007.499999999993</v>
      </c>
      <c r="H15" s="85"/>
    </row>
    <row r="16" spans="1:8" x14ac:dyDescent="0.3">
      <c r="A16" s="105" t="s">
        <v>1164</v>
      </c>
      <c r="B16" s="107" t="s">
        <v>1228</v>
      </c>
      <c r="C16" s="50" t="s">
        <v>1227</v>
      </c>
      <c r="D16" s="103"/>
      <c r="E16" s="103">
        <v>4708</v>
      </c>
      <c r="F16" s="101"/>
      <c r="G16" s="161">
        <f t="shared" si="0"/>
        <v>21299.499999999993</v>
      </c>
      <c r="H16" s="85"/>
    </row>
    <row r="17" spans="1:8" x14ac:dyDescent="0.3">
      <c r="A17" s="105" t="s">
        <v>1360</v>
      </c>
      <c r="B17" s="107" t="s">
        <v>1361</v>
      </c>
      <c r="C17" s="50" t="s">
        <v>1227</v>
      </c>
      <c r="D17" s="103"/>
      <c r="E17" s="103">
        <v>1915.3</v>
      </c>
      <c r="F17" s="101"/>
      <c r="G17" s="161">
        <f t="shared" si="0"/>
        <v>19384.199999999993</v>
      </c>
      <c r="H17" s="85"/>
    </row>
    <row r="18" spans="1:8" x14ac:dyDescent="0.3">
      <c r="A18" s="105" t="s">
        <v>1338</v>
      </c>
      <c r="B18" s="107" t="s">
        <v>1370</v>
      </c>
      <c r="C18" s="50" t="s">
        <v>1369</v>
      </c>
      <c r="D18" s="103"/>
      <c r="E18" s="103">
        <v>4708</v>
      </c>
      <c r="F18" s="101"/>
      <c r="G18" s="161">
        <f t="shared" si="0"/>
        <v>14676.199999999993</v>
      </c>
      <c r="H18" s="85"/>
    </row>
    <row r="19" spans="1:8" x14ac:dyDescent="0.3">
      <c r="A19" s="105" t="s">
        <v>1433</v>
      </c>
      <c r="B19" s="107" t="s">
        <v>1442</v>
      </c>
      <c r="C19" s="50" t="s">
        <v>1369</v>
      </c>
      <c r="D19" s="103"/>
      <c r="E19" s="103">
        <v>1915.3</v>
      </c>
      <c r="F19" s="101"/>
      <c r="G19" s="161">
        <f t="shared" si="0"/>
        <v>12760.899999999994</v>
      </c>
      <c r="H19" s="85"/>
    </row>
    <row r="20" spans="1:8" x14ac:dyDescent="0.3">
      <c r="A20" s="105" t="s">
        <v>1513</v>
      </c>
      <c r="B20" s="107" t="s">
        <v>1548</v>
      </c>
      <c r="C20" s="50" t="s">
        <v>1549</v>
      </c>
      <c r="D20" s="103"/>
      <c r="E20" s="103">
        <v>4708</v>
      </c>
      <c r="F20" s="101"/>
      <c r="G20" s="161">
        <f t="shared" si="0"/>
        <v>8052.8999999999942</v>
      </c>
      <c r="H20" s="85"/>
    </row>
    <row r="21" spans="1:8" x14ac:dyDescent="0.3">
      <c r="A21" s="105"/>
      <c r="B21" s="107"/>
      <c r="C21" s="50"/>
      <c r="D21" s="103"/>
      <c r="E21" s="103"/>
      <c r="F21" s="101"/>
      <c r="G21" s="161"/>
      <c r="H21" s="85"/>
    </row>
    <row r="22" spans="1:8" ht="18.75" x14ac:dyDescent="0.3">
      <c r="A22" s="192" t="s">
        <v>1019</v>
      </c>
      <c r="B22" s="100" t="s">
        <v>1044</v>
      </c>
      <c r="C22" s="237" t="s">
        <v>413</v>
      </c>
      <c r="D22" s="101">
        <v>12000</v>
      </c>
      <c r="E22" s="101">
        <f>1926+1894.94</f>
        <v>3820.94</v>
      </c>
      <c r="F22" s="101"/>
      <c r="G22" s="161">
        <f>D22-E22</f>
        <v>8179.0599999999995</v>
      </c>
      <c r="H22" s="238" t="s">
        <v>1279</v>
      </c>
    </row>
    <row r="23" spans="1:8" ht="18.75" x14ac:dyDescent="0.3">
      <c r="A23" s="192" t="s">
        <v>638</v>
      </c>
      <c r="B23" s="100" t="s">
        <v>799</v>
      </c>
      <c r="C23" s="237" t="s">
        <v>414</v>
      </c>
      <c r="D23" s="101">
        <v>9000</v>
      </c>
      <c r="E23" s="101">
        <f>1476.6+1476.6+1476.6+1476.6</f>
        <v>5906.4</v>
      </c>
      <c r="F23" s="101"/>
      <c r="G23" s="161">
        <f t="shared" ref="G23:G86" si="1">D23-E23</f>
        <v>3093.6000000000004</v>
      </c>
      <c r="H23" s="238" t="s">
        <v>1428</v>
      </c>
    </row>
    <row r="24" spans="1:8" ht="18.75" x14ac:dyDescent="0.3">
      <c r="A24" s="192" t="s">
        <v>634</v>
      </c>
      <c r="B24" s="100" t="s">
        <v>799</v>
      </c>
      <c r="C24" s="237" t="s">
        <v>415</v>
      </c>
      <c r="D24" s="101">
        <v>9000</v>
      </c>
      <c r="E24" s="101">
        <f>1498+1498+1498</f>
        <v>4494</v>
      </c>
      <c r="F24" s="101"/>
      <c r="G24" s="161">
        <f t="shared" si="1"/>
        <v>4506</v>
      </c>
      <c r="H24" s="238" t="s">
        <v>1140</v>
      </c>
    </row>
    <row r="25" spans="1:8" ht="18.75" x14ac:dyDescent="0.3">
      <c r="A25" s="192"/>
      <c r="B25" s="100">
        <v>4</v>
      </c>
      <c r="C25" s="325" t="s">
        <v>416</v>
      </c>
      <c r="D25" s="101">
        <v>9000</v>
      </c>
      <c r="E25" s="101"/>
      <c r="F25" s="101"/>
      <c r="G25" s="161">
        <f t="shared" si="1"/>
        <v>9000</v>
      </c>
      <c r="H25" s="238"/>
    </row>
    <row r="26" spans="1:8" ht="18.75" x14ac:dyDescent="0.3">
      <c r="A26" s="192"/>
      <c r="B26" s="100">
        <v>5</v>
      </c>
      <c r="C26" s="239" t="s">
        <v>417</v>
      </c>
      <c r="D26" s="240">
        <v>9000</v>
      </c>
      <c r="E26" s="101"/>
      <c r="F26" s="101"/>
      <c r="G26" s="327">
        <f t="shared" si="1"/>
        <v>9000</v>
      </c>
      <c r="H26" s="241" t="s">
        <v>544</v>
      </c>
    </row>
    <row r="27" spans="1:8" ht="18.75" x14ac:dyDescent="0.3">
      <c r="A27" s="192" t="s">
        <v>634</v>
      </c>
      <c r="B27" s="100" t="s">
        <v>800</v>
      </c>
      <c r="C27" s="237" t="s">
        <v>80</v>
      </c>
      <c r="D27" s="101">
        <v>12000</v>
      </c>
      <c r="E27" s="101">
        <f>1369.6+1369.6+1369.6+1369.6</f>
        <v>5478.4</v>
      </c>
      <c r="F27" s="101"/>
      <c r="G27" s="161">
        <f t="shared" si="1"/>
        <v>6521.6</v>
      </c>
      <c r="H27" s="238" t="s">
        <v>1428</v>
      </c>
    </row>
    <row r="28" spans="1:8" ht="18.75" x14ac:dyDescent="0.3">
      <c r="A28" s="192" t="s">
        <v>634</v>
      </c>
      <c r="B28" s="100" t="s">
        <v>800</v>
      </c>
      <c r="C28" s="237" t="s">
        <v>29</v>
      </c>
      <c r="D28" s="101">
        <v>9000</v>
      </c>
      <c r="E28" s="101">
        <f>738.3+738.3+738.3+738.3</f>
        <v>2953.2</v>
      </c>
      <c r="F28" s="101"/>
      <c r="G28" s="161">
        <f t="shared" si="1"/>
        <v>6046.8</v>
      </c>
      <c r="H28" s="238" t="s">
        <v>1428</v>
      </c>
    </row>
    <row r="29" spans="1:8" ht="18.75" x14ac:dyDescent="0.3">
      <c r="A29" s="192" t="s">
        <v>634</v>
      </c>
      <c r="B29" s="100" t="s">
        <v>800</v>
      </c>
      <c r="C29" s="237" t="s">
        <v>418</v>
      </c>
      <c r="D29" s="101">
        <v>21000</v>
      </c>
      <c r="E29" s="101">
        <f>2568+2568+2568+2568</f>
        <v>10272</v>
      </c>
      <c r="F29" s="101"/>
      <c r="G29" s="161">
        <f t="shared" si="1"/>
        <v>10728</v>
      </c>
      <c r="H29" s="238" t="s">
        <v>1428</v>
      </c>
    </row>
    <row r="30" spans="1:8" ht="18.75" x14ac:dyDescent="0.3">
      <c r="A30" s="192" t="s">
        <v>634</v>
      </c>
      <c r="B30" s="100" t="s">
        <v>800</v>
      </c>
      <c r="C30" s="237" t="s">
        <v>44</v>
      </c>
      <c r="D30" s="101">
        <v>9000</v>
      </c>
      <c r="E30" s="101">
        <f>738.3+738.3+738.3+738.3</f>
        <v>2953.2</v>
      </c>
      <c r="F30" s="101"/>
      <c r="G30" s="161">
        <f t="shared" si="1"/>
        <v>6046.8</v>
      </c>
      <c r="H30" s="238" t="s">
        <v>1428</v>
      </c>
    </row>
    <row r="31" spans="1:8" ht="18.75" x14ac:dyDescent="0.3">
      <c r="A31" s="192" t="s">
        <v>1019</v>
      </c>
      <c r="B31" s="100" t="s">
        <v>1043</v>
      </c>
      <c r="C31" s="237" t="s">
        <v>419</v>
      </c>
      <c r="D31" s="101">
        <v>12000</v>
      </c>
      <c r="E31" s="101">
        <f>1808.3+1808.3+1808.3</f>
        <v>5424.9</v>
      </c>
      <c r="F31" s="101"/>
      <c r="G31" s="161">
        <f t="shared" si="1"/>
        <v>6575.1</v>
      </c>
      <c r="H31" s="238" t="s">
        <v>1429</v>
      </c>
    </row>
    <row r="32" spans="1:8" ht="18.75" x14ac:dyDescent="0.3">
      <c r="A32" s="192" t="s">
        <v>634</v>
      </c>
      <c r="B32" s="100" t="s">
        <v>799</v>
      </c>
      <c r="C32" s="237" t="s">
        <v>78</v>
      </c>
      <c r="D32" s="101">
        <v>9000</v>
      </c>
      <c r="E32" s="101">
        <f>1284+1284+1284</f>
        <v>3852</v>
      </c>
      <c r="F32" s="101"/>
      <c r="G32" s="161">
        <f t="shared" si="1"/>
        <v>5148</v>
      </c>
      <c r="H32" s="238" t="s">
        <v>1278</v>
      </c>
    </row>
    <row r="33" spans="1:8" ht="18.75" x14ac:dyDescent="0.3">
      <c r="A33" s="192" t="s">
        <v>634</v>
      </c>
      <c r="B33" s="100" t="s">
        <v>799</v>
      </c>
      <c r="C33" s="237" t="s">
        <v>420</v>
      </c>
      <c r="D33" s="101">
        <v>9000</v>
      </c>
      <c r="E33" s="101">
        <f>1498+1498+1498</f>
        <v>4494</v>
      </c>
      <c r="F33" s="101"/>
      <c r="G33" s="161">
        <f t="shared" si="1"/>
        <v>4506</v>
      </c>
      <c r="H33" s="238" t="s">
        <v>1140</v>
      </c>
    </row>
    <row r="34" spans="1:8" ht="18.75" x14ac:dyDescent="0.3">
      <c r="A34" s="192" t="s">
        <v>634</v>
      </c>
      <c r="B34" s="100" t="s">
        <v>800</v>
      </c>
      <c r="C34" s="237" t="s">
        <v>47</v>
      </c>
      <c r="D34" s="101">
        <v>9000</v>
      </c>
      <c r="E34" s="101">
        <f>1476.6+1476.6+1476.6+1476.6</f>
        <v>5906.4</v>
      </c>
      <c r="F34" s="101"/>
      <c r="G34" s="161">
        <f t="shared" si="1"/>
        <v>3093.6000000000004</v>
      </c>
      <c r="H34" s="238" t="s">
        <v>1428</v>
      </c>
    </row>
    <row r="35" spans="1:8" ht="18.75" x14ac:dyDescent="0.3">
      <c r="A35" s="192" t="s">
        <v>634</v>
      </c>
      <c r="B35" s="100" t="s">
        <v>800</v>
      </c>
      <c r="C35" s="237" t="s">
        <v>77</v>
      </c>
      <c r="D35" s="101">
        <v>9000</v>
      </c>
      <c r="E35" s="101">
        <f>1380.3+1380.3+1380.3+1380.3</f>
        <v>5521.2</v>
      </c>
      <c r="F35" s="101"/>
      <c r="G35" s="161">
        <f t="shared" si="1"/>
        <v>3478.8</v>
      </c>
      <c r="H35" s="238" t="s">
        <v>1428</v>
      </c>
    </row>
    <row r="36" spans="1:8" ht="18.75" x14ac:dyDescent="0.3">
      <c r="A36" s="192" t="s">
        <v>795</v>
      </c>
      <c r="B36" s="100" t="s">
        <v>814</v>
      </c>
      <c r="C36" s="237" t="s">
        <v>421</v>
      </c>
      <c r="D36" s="101">
        <v>12000</v>
      </c>
      <c r="E36" s="101">
        <f>1926+1926+1926</f>
        <v>5778</v>
      </c>
      <c r="F36" s="101"/>
      <c r="G36" s="161">
        <f t="shared" si="1"/>
        <v>6222</v>
      </c>
      <c r="H36" s="238" t="s">
        <v>1140</v>
      </c>
    </row>
    <row r="37" spans="1:8" ht="18.75" x14ac:dyDescent="0.3">
      <c r="A37" s="192" t="s">
        <v>818</v>
      </c>
      <c r="B37" s="100" t="s">
        <v>814</v>
      </c>
      <c r="C37" s="237" t="s">
        <v>422</v>
      </c>
      <c r="D37" s="101">
        <v>30000</v>
      </c>
      <c r="E37" s="101">
        <f>3306.3+3306.3+3306.3+3306.3</f>
        <v>13225.2</v>
      </c>
      <c r="F37" s="101"/>
      <c r="G37" s="161">
        <f t="shared" si="1"/>
        <v>16774.8</v>
      </c>
      <c r="H37" s="238" t="s">
        <v>1428</v>
      </c>
    </row>
    <row r="38" spans="1:8" ht="18.75" x14ac:dyDescent="0.3">
      <c r="A38" s="192" t="s">
        <v>634</v>
      </c>
      <c r="B38" s="100" t="s">
        <v>800</v>
      </c>
      <c r="C38" s="237" t="s">
        <v>90</v>
      </c>
      <c r="D38" s="101">
        <v>9000</v>
      </c>
      <c r="E38" s="101">
        <f>631.3+631.3+631.3+631.3</f>
        <v>2525.1999999999998</v>
      </c>
      <c r="F38" s="101"/>
      <c r="G38" s="161">
        <f t="shared" si="1"/>
        <v>6474.8</v>
      </c>
      <c r="H38" s="238" t="s">
        <v>1428</v>
      </c>
    </row>
    <row r="39" spans="1:8" ht="18.75" x14ac:dyDescent="0.3">
      <c r="A39" s="192"/>
      <c r="B39" s="100">
        <v>18</v>
      </c>
      <c r="C39" s="239" t="s">
        <v>423</v>
      </c>
      <c r="D39" s="240">
        <v>12000</v>
      </c>
      <c r="E39" s="101"/>
      <c r="F39" s="101"/>
      <c r="G39" s="327">
        <f t="shared" si="1"/>
        <v>12000</v>
      </c>
      <c r="H39" s="241" t="s">
        <v>545</v>
      </c>
    </row>
    <row r="40" spans="1:8" ht="18.75" x14ac:dyDescent="0.3">
      <c r="A40" s="192" t="s">
        <v>634</v>
      </c>
      <c r="B40" s="100" t="s">
        <v>799</v>
      </c>
      <c r="C40" s="237" t="s">
        <v>424</v>
      </c>
      <c r="D40" s="101">
        <v>9000</v>
      </c>
      <c r="E40" s="101">
        <f>1498+1498+1498</f>
        <v>4494</v>
      </c>
      <c r="F40" s="101"/>
      <c r="G40" s="161">
        <f t="shared" si="1"/>
        <v>4506</v>
      </c>
      <c r="H40" s="238" t="s">
        <v>1140</v>
      </c>
    </row>
    <row r="41" spans="1:8" ht="18.75" x14ac:dyDescent="0.3">
      <c r="A41" s="192"/>
      <c r="B41" s="100">
        <v>20</v>
      </c>
      <c r="C41" s="237" t="s">
        <v>425</v>
      </c>
      <c r="D41" s="101">
        <v>21000</v>
      </c>
      <c r="E41" s="101">
        <f>3381.2+3381.2+3381.2+3381.2</f>
        <v>13524.8</v>
      </c>
      <c r="F41" s="101"/>
      <c r="G41" s="161">
        <f t="shared" si="1"/>
        <v>7475.2000000000007</v>
      </c>
      <c r="H41" s="238" t="s">
        <v>1428</v>
      </c>
    </row>
    <row r="42" spans="1:8" ht="18.75" x14ac:dyDescent="0.3">
      <c r="A42" s="192" t="s">
        <v>854</v>
      </c>
      <c r="B42" s="100" t="s">
        <v>856</v>
      </c>
      <c r="C42" s="237" t="s">
        <v>426</v>
      </c>
      <c r="D42" s="101">
        <v>9000</v>
      </c>
      <c r="E42" s="101">
        <f>1498+1498</f>
        <v>2996</v>
      </c>
      <c r="F42" s="101"/>
      <c r="G42" s="161">
        <f t="shared" si="1"/>
        <v>6004</v>
      </c>
      <c r="H42" s="238" t="s">
        <v>1039</v>
      </c>
    </row>
    <row r="43" spans="1:8" ht="18.75" x14ac:dyDescent="0.3">
      <c r="A43" s="192" t="s">
        <v>634</v>
      </c>
      <c r="B43" s="100" t="s">
        <v>799</v>
      </c>
      <c r="C43" s="237" t="s">
        <v>427</v>
      </c>
      <c r="D43" s="101">
        <v>9000</v>
      </c>
      <c r="E43" s="101">
        <f>1476.6+1476.6+1476.6+1476.6</f>
        <v>5906.4</v>
      </c>
      <c r="F43" s="101"/>
      <c r="G43" s="161">
        <f t="shared" si="1"/>
        <v>3093.6000000000004</v>
      </c>
      <c r="H43" s="238" t="s">
        <v>1428</v>
      </c>
    </row>
    <row r="44" spans="1:8" ht="18.75" x14ac:dyDescent="0.3">
      <c r="A44" s="192" t="s">
        <v>634</v>
      </c>
      <c r="B44" s="100" t="s">
        <v>799</v>
      </c>
      <c r="C44" s="237" t="s">
        <v>428</v>
      </c>
      <c r="D44" s="101">
        <v>9000</v>
      </c>
      <c r="E44" s="101">
        <f>1284+1284+1284</f>
        <v>3852</v>
      </c>
      <c r="F44" s="101"/>
      <c r="G44" s="161">
        <f t="shared" si="1"/>
        <v>5148</v>
      </c>
      <c r="H44" s="238" t="s">
        <v>1140</v>
      </c>
    </row>
    <row r="45" spans="1:8" ht="18.75" x14ac:dyDescent="0.3">
      <c r="A45" s="192" t="s">
        <v>634</v>
      </c>
      <c r="B45" s="100" t="s">
        <v>800</v>
      </c>
      <c r="C45" s="237" t="s">
        <v>429</v>
      </c>
      <c r="D45" s="101">
        <v>12000</v>
      </c>
      <c r="E45" s="101">
        <f>588.5+588.5+588.5+588.5</f>
        <v>2354</v>
      </c>
      <c r="F45" s="101"/>
      <c r="G45" s="161">
        <f t="shared" si="1"/>
        <v>9646</v>
      </c>
      <c r="H45" s="238" t="s">
        <v>1428</v>
      </c>
    </row>
    <row r="46" spans="1:8" ht="18.75" x14ac:dyDescent="0.3">
      <c r="A46" s="192" t="s">
        <v>634</v>
      </c>
      <c r="B46" s="100" t="s">
        <v>800</v>
      </c>
      <c r="C46" s="237" t="s">
        <v>91</v>
      </c>
      <c r="D46" s="101">
        <v>12000</v>
      </c>
      <c r="E46" s="101">
        <f>1476.6+1476.6+1476.6+1476.6</f>
        <v>5906.4</v>
      </c>
      <c r="F46" s="101"/>
      <c r="G46" s="161">
        <f t="shared" si="1"/>
        <v>6093.6</v>
      </c>
      <c r="H46" s="238" t="s">
        <v>1428</v>
      </c>
    </row>
    <row r="47" spans="1:8" ht="18.75" x14ac:dyDescent="0.3">
      <c r="A47" s="192" t="s">
        <v>634</v>
      </c>
      <c r="B47" s="100" t="s">
        <v>799</v>
      </c>
      <c r="C47" s="237" t="s">
        <v>45</v>
      </c>
      <c r="D47" s="101">
        <v>12000</v>
      </c>
      <c r="E47" s="101">
        <f>1893.9+1893.9+1893.9</f>
        <v>5681.7000000000007</v>
      </c>
      <c r="F47" s="101"/>
      <c r="G47" s="161">
        <f t="shared" si="1"/>
        <v>6318.2999999999993</v>
      </c>
      <c r="H47" s="238" t="s">
        <v>1140</v>
      </c>
    </row>
    <row r="48" spans="1:8" ht="18.75" x14ac:dyDescent="0.3">
      <c r="A48" s="192" t="s">
        <v>634</v>
      </c>
      <c r="B48" s="100" t="s">
        <v>800</v>
      </c>
      <c r="C48" s="237" t="s">
        <v>430</v>
      </c>
      <c r="D48" s="101">
        <v>12000</v>
      </c>
      <c r="E48" s="101">
        <f>1915.3+1915.3+1915.3+1915.3</f>
        <v>7661.2</v>
      </c>
      <c r="F48" s="101"/>
      <c r="G48" s="161">
        <f t="shared" si="1"/>
        <v>4338.8</v>
      </c>
      <c r="H48" s="238" t="s">
        <v>1428</v>
      </c>
    </row>
    <row r="49" spans="1:8" ht="18.75" x14ac:dyDescent="0.3">
      <c r="A49" s="192" t="s">
        <v>634</v>
      </c>
      <c r="B49" s="100" t="s">
        <v>799</v>
      </c>
      <c r="C49" s="237" t="s">
        <v>431</v>
      </c>
      <c r="D49" s="101">
        <v>12000</v>
      </c>
      <c r="E49" s="101">
        <f>749+749+749</f>
        <v>2247</v>
      </c>
      <c r="F49" s="101"/>
      <c r="G49" s="161">
        <f t="shared" si="1"/>
        <v>9753</v>
      </c>
      <c r="H49" s="238" t="s">
        <v>1140</v>
      </c>
    </row>
    <row r="50" spans="1:8" ht="18.75" x14ac:dyDescent="0.3">
      <c r="A50" s="192" t="s">
        <v>634</v>
      </c>
      <c r="B50" s="100" t="s">
        <v>689</v>
      </c>
      <c r="C50" s="237" t="s">
        <v>81</v>
      </c>
      <c r="D50" s="101">
        <v>12000</v>
      </c>
      <c r="E50" s="101">
        <f>850.65+850.65+850.65+850.65</f>
        <v>3402.6</v>
      </c>
      <c r="F50" s="101"/>
      <c r="G50" s="161">
        <f t="shared" si="1"/>
        <v>8597.4</v>
      </c>
      <c r="H50" s="238" t="s">
        <v>1140</v>
      </c>
    </row>
    <row r="51" spans="1:8" ht="18.75" x14ac:dyDescent="0.3">
      <c r="A51" s="192" t="s">
        <v>634</v>
      </c>
      <c r="B51" s="100" t="s">
        <v>799</v>
      </c>
      <c r="C51" s="237" t="s">
        <v>432</v>
      </c>
      <c r="D51" s="101">
        <v>12000</v>
      </c>
      <c r="E51" s="101">
        <f>1893+1893.9+1893.9</f>
        <v>5680.8</v>
      </c>
      <c r="F51" s="101"/>
      <c r="G51" s="161">
        <f t="shared" si="1"/>
        <v>6319.2</v>
      </c>
      <c r="H51" s="238" t="s">
        <v>1140</v>
      </c>
    </row>
    <row r="52" spans="1:8" ht="18.75" x14ac:dyDescent="0.3">
      <c r="A52" s="192" t="s">
        <v>634</v>
      </c>
      <c r="B52" s="100" t="s">
        <v>799</v>
      </c>
      <c r="C52" s="237" t="s">
        <v>65</v>
      </c>
      <c r="D52" s="101">
        <v>12000</v>
      </c>
      <c r="E52" s="101">
        <f>1498+1498+1498</f>
        <v>4494</v>
      </c>
      <c r="F52" s="101"/>
      <c r="G52" s="161">
        <f t="shared" si="1"/>
        <v>7506</v>
      </c>
      <c r="H52" s="238" t="s">
        <v>1140</v>
      </c>
    </row>
    <row r="53" spans="1:8" ht="18.75" x14ac:dyDescent="0.3">
      <c r="A53" s="192" t="s">
        <v>795</v>
      </c>
      <c r="B53" s="100" t="s">
        <v>814</v>
      </c>
      <c r="C53" s="237" t="s">
        <v>433</v>
      </c>
      <c r="D53" s="101">
        <v>12000</v>
      </c>
      <c r="E53" s="101">
        <f>1926+1926+1926</f>
        <v>5778</v>
      </c>
      <c r="F53" s="101"/>
      <c r="G53" s="161">
        <f t="shared" si="1"/>
        <v>6222</v>
      </c>
      <c r="H53" s="238" t="s">
        <v>1140</v>
      </c>
    </row>
    <row r="54" spans="1:8" ht="18.75" x14ac:dyDescent="0.3">
      <c r="A54" s="192" t="s">
        <v>795</v>
      </c>
      <c r="B54" s="100" t="s">
        <v>814</v>
      </c>
      <c r="C54" s="237" t="s">
        <v>434</v>
      </c>
      <c r="D54" s="101">
        <v>12000</v>
      </c>
      <c r="E54" s="101">
        <f>749+749+749+749</f>
        <v>2996</v>
      </c>
      <c r="F54" s="101"/>
      <c r="G54" s="161">
        <f t="shared" si="1"/>
        <v>9004</v>
      </c>
      <c r="H54" s="238" t="s">
        <v>1428</v>
      </c>
    </row>
    <row r="55" spans="1:8" ht="18.75" x14ac:dyDescent="0.3">
      <c r="A55" s="192" t="s">
        <v>634</v>
      </c>
      <c r="B55" s="100" t="s">
        <v>800</v>
      </c>
      <c r="C55" s="237" t="s">
        <v>435</v>
      </c>
      <c r="D55" s="101">
        <v>12000</v>
      </c>
      <c r="E55" s="101">
        <f>1957.03+1957.03+1957.03+1957.03</f>
        <v>7828.12</v>
      </c>
      <c r="F55" s="101"/>
      <c r="G55" s="161">
        <f t="shared" si="1"/>
        <v>4171.88</v>
      </c>
      <c r="H55" s="238" t="s">
        <v>1428</v>
      </c>
    </row>
    <row r="56" spans="1:8" ht="18.75" x14ac:dyDescent="0.3">
      <c r="A56" s="192" t="s">
        <v>634</v>
      </c>
      <c r="B56" s="100" t="s">
        <v>799</v>
      </c>
      <c r="C56" s="237" t="s">
        <v>66</v>
      </c>
      <c r="D56" s="101">
        <v>12000</v>
      </c>
      <c r="E56" s="101">
        <f>1926+1926+1926</f>
        <v>5778</v>
      </c>
      <c r="F56" s="101"/>
      <c r="G56" s="161">
        <f t="shared" si="1"/>
        <v>6222</v>
      </c>
      <c r="H56" s="238" t="s">
        <v>1140</v>
      </c>
    </row>
    <row r="57" spans="1:8" ht="18.75" x14ac:dyDescent="0.3">
      <c r="A57" s="192" t="s">
        <v>1019</v>
      </c>
      <c r="B57" s="100" t="s">
        <v>1042</v>
      </c>
      <c r="C57" s="237" t="s">
        <v>436</v>
      </c>
      <c r="D57" s="101">
        <v>9000</v>
      </c>
      <c r="E57" s="101">
        <f>732.95+732.95+732.95+732.95</f>
        <v>2931.8</v>
      </c>
      <c r="F57" s="101"/>
      <c r="G57" s="161">
        <f t="shared" si="1"/>
        <v>6068.2</v>
      </c>
      <c r="H57" s="238" t="s">
        <v>1428</v>
      </c>
    </row>
    <row r="58" spans="1:8" ht="18.75" x14ac:dyDescent="0.3">
      <c r="A58" s="192" t="s">
        <v>634</v>
      </c>
      <c r="B58" s="100" t="s">
        <v>799</v>
      </c>
      <c r="C58" s="237" t="s">
        <v>43</v>
      </c>
      <c r="D58" s="101">
        <v>9000</v>
      </c>
      <c r="E58" s="101">
        <f>1498+1498+1498</f>
        <v>4494</v>
      </c>
      <c r="F58" s="101"/>
      <c r="G58" s="161">
        <f t="shared" si="1"/>
        <v>4506</v>
      </c>
      <c r="H58" s="238" t="s">
        <v>1140</v>
      </c>
    </row>
    <row r="59" spans="1:8" ht="18.75" x14ac:dyDescent="0.3">
      <c r="A59" s="192" t="s">
        <v>634</v>
      </c>
      <c r="B59" s="100" t="s">
        <v>798</v>
      </c>
      <c r="C59" s="237" t="s">
        <v>437</v>
      </c>
      <c r="D59" s="101">
        <v>9000</v>
      </c>
      <c r="E59" s="101">
        <f>738.3+738.3+738.3</f>
        <v>2214.8999999999996</v>
      </c>
      <c r="F59" s="101"/>
      <c r="G59" s="161">
        <f t="shared" si="1"/>
        <v>6785.1</v>
      </c>
      <c r="H59" s="238" t="s">
        <v>1140</v>
      </c>
    </row>
    <row r="60" spans="1:8" ht="18.75" x14ac:dyDescent="0.3">
      <c r="A60" s="192" t="s">
        <v>1060</v>
      </c>
      <c r="B60" s="100" t="s">
        <v>798</v>
      </c>
      <c r="C60" s="237" t="s">
        <v>64</v>
      </c>
      <c r="D60" s="101">
        <v>30000</v>
      </c>
      <c r="E60" s="101">
        <f>749+749+749+749</f>
        <v>2996</v>
      </c>
      <c r="F60" s="101"/>
      <c r="G60" s="161">
        <f t="shared" si="1"/>
        <v>27004</v>
      </c>
      <c r="H60" s="238" t="s">
        <v>1429</v>
      </c>
    </row>
    <row r="61" spans="1:8" ht="18.75" x14ac:dyDescent="0.3">
      <c r="A61" s="192" t="s">
        <v>854</v>
      </c>
      <c r="B61" s="100" t="s">
        <v>857</v>
      </c>
      <c r="C61" s="237" t="s">
        <v>438</v>
      </c>
      <c r="D61" s="101">
        <v>12000</v>
      </c>
      <c r="E61" s="101">
        <f>1808.3+1808.3+1808.3</f>
        <v>5424.9</v>
      </c>
      <c r="F61" s="101"/>
      <c r="G61" s="161">
        <f t="shared" si="1"/>
        <v>6575.1</v>
      </c>
      <c r="H61" s="238" t="s">
        <v>1278</v>
      </c>
    </row>
    <row r="62" spans="1:8" ht="18.75" x14ac:dyDescent="0.3">
      <c r="A62" s="192" t="s">
        <v>634</v>
      </c>
      <c r="B62" s="100" t="s">
        <v>800</v>
      </c>
      <c r="C62" s="237" t="s">
        <v>27</v>
      </c>
      <c r="D62" s="101">
        <v>9000</v>
      </c>
      <c r="E62" s="101">
        <f>1476.6+1476.6+1476.6+1476.6</f>
        <v>5906.4</v>
      </c>
      <c r="F62" s="101"/>
      <c r="G62" s="161">
        <f t="shared" si="1"/>
        <v>3093.6000000000004</v>
      </c>
      <c r="H62" s="238" t="s">
        <v>1429</v>
      </c>
    </row>
    <row r="63" spans="1:8" ht="18.75" x14ac:dyDescent="0.3">
      <c r="A63" s="192"/>
      <c r="B63" s="100">
        <v>42</v>
      </c>
      <c r="C63" s="237" t="s">
        <v>439</v>
      </c>
      <c r="D63" s="101">
        <v>9000</v>
      </c>
      <c r="E63" s="101">
        <f>738.3+738.3+738.3+738.3</f>
        <v>2953.2</v>
      </c>
      <c r="F63" s="101"/>
      <c r="G63" s="161">
        <f t="shared" si="1"/>
        <v>6046.8</v>
      </c>
      <c r="H63" s="238" t="s">
        <v>1429</v>
      </c>
    </row>
    <row r="64" spans="1:8" ht="18.75" x14ac:dyDescent="0.3">
      <c r="A64" s="192" t="s">
        <v>634</v>
      </c>
      <c r="B64" s="100" t="s">
        <v>798</v>
      </c>
      <c r="C64" s="237" t="s">
        <v>67</v>
      </c>
      <c r="D64" s="101">
        <v>12000</v>
      </c>
      <c r="E64" s="101">
        <f>2000+2000+2000</f>
        <v>6000</v>
      </c>
      <c r="F64" s="101"/>
      <c r="G64" s="161">
        <f t="shared" si="1"/>
        <v>6000</v>
      </c>
      <c r="H64" s="238" t="s">
        <v>1278</v>
      </c>
    </row>
    <row r="65" spans="1:8" ht="18.75" x14ac:dyDescent="0.3">
      <c r="A65" s="192"/>
      <c r="B65" s="100">
        <v>44</v>
      </c>
      <c r="C65" s="239" t="s">
        <v>440</v>
      </c>
      <c r="D65" s="240">
        <v>9000</v>
      </c>
      <c r="E65" s="101"/>
      <c r="F65" s="101"/>
      <c r="G65" s="161">
        <f t="shared" si="1"/>
        <v>9000</v>
      </c>
      <c r="H65" s="242" t="s">
        <v>546</v>
      </c>
    </row>
    <row r="66" spans="1:8" ht="18.75" x14ac:dyDescent="0.3">
      <c r="A66" s="192" t="s">
        <v>634</v>
      </c>
      <c r="B66" s="100" t="s">
        <v>798</v>
      </c>
      <c r="C66" s="237" t="s">
        <v>441</v>
      </c>
      <c r="D66" s="101">
        <v>9000</v>
      </c>
      <c r="E66" s="101">
        <f>1498+1498+1498</f>
        <v>4494</v>
      </c>
      <c r="F66" s="101"/>
      <c r="G66" s="161">
        <f t="shared" si="1"/>
        <v>4506</v>
      </c>
      <c r="H66" s="238" t="s">
        <v>1140</v>
      </c>
    </row>
    <row r="67" spans="1:8" ht="18.75" x14ac:dyDescent="0.3">
      <c r="A67" s="192" t="s">
        <v>634</v>
      </c>
      <c r="B67" s="100" t="s">
        <v>798</v>
      </c>
      <c r="C67" s="237" t="s">
        <v>79</v>
      </c>
      <c r="D67" s="101">
        <v>9000</v>
      </c>
      <c r="E67" s="101">
        <f>1498+1498+1498</f>
        <v>4494</v>
      </c>
      <c r="F67" s="101"/>
      <c r="G67" s="161">
        <f t="shared" si="1"/>
        <v>4506</v>
      </c>
      <c r="H67" s="238" t="s">
        <v>1278</v>
      </c>
    </row>
    <row r="68" spans="1:8" ht="18.75" x14ac:dyDescent="0.3">
      <c r="A68" s="192" t="s">
        <v>634</v>
      </c>
      <c r="B68" s="100" t="s">
        <v>800</v>
      </c>
      <c r="C68" s="237" t="s">
        <v>28</v>
      </c>
      <c r="D68" s="101">
        <v>9000</v>
      </c>
      <c r="E68" s="101">
        <f>1476.6+1476.6+1476.6+1476.6</f>
        <v>5906.4</v>
      </c>
      <c r="F68" s="101"/>
      <c r="G68" s="161">
        <f t="shared" si="1"/>
        <v>3093.6000000000004</v>
      </c>
      <c r="H68" s="238" t="s">
        <v>1429</v>
      </c>
    </row>
    <row r="69" spans="1:8" ht="18.75" x14ac:dyDescent="0.3">
      <c r="A69" s="192" t="s">
        <v>634</v>
      </c>
      <c r="B69" s="100" t="s">
        <v>800</v>
      </c>
      <c r="C69" s="237" t="s">
        <v>98</v>
      </c>
      <c r="D69" s="101">
        <v>12000</v>
      </c>
      <c r="E69" s="101">
        <f>1476.6+1476.6+1476.6+1476.6</f>
        <v>5906.4</v>
      </c>
      <c r="F69" s="101"/>
      <c r="G69" s="161">
        <f t="shared" si="1"/>
        <v>6093.6</v>
      </c>
      <c r="H69" s="238" t="s">
        <v>1429</v>
      </c>
    </row>
    <row r="70" spans="1:8" ht="18.75" x14ac:dyDescent="0.3">
      <c r="A70" s="192" t="s">
        <v>795</v>
      </c>
      <c r="B70" s="100" t="s">
        <v>813</v>
      </c>
      <c r="C70" s="237" t="s">
        <v>99</v>
      </c>
      <c r="D70" s="101">
        <v>12000</v>
      </c>
      <c r="E70" s="101">
        <f>1605+1605+1605</f>
        <v>4815</v>
      </c>
      <c r="F70" s="101"/>
      <c r="G70" s="161">
        <f t="shared" si="1"/>
        <v>7185</v>
      </c>
      <c r="H70" s="238" t="s">
        <v>1140</v>
      </c>
    </row>
    <row r="71" spans="1:8" ht="18.75" x14ac:dyDescent="0.3">
      <c r="A71" s="192" t="s">
        <v>634</v>
      </c>
      <c r="B71" s="100" t="s">
        <v>800</v>
      </c>
      <c r="C71" s="237" t="s">
        <v>442</v>
      </c>
      <c r="D71" s="101">
        <v>9000</v>
      </c>
      <c r="E71" s="101">
        <f>1177+1177+1177+1177</f>
        <v>4708</v>
      </c>
      <c r="F71" s="101"/>
      <c r="G71" s="161">
        <f t="shared" si="1"/>
        <v>4292</v>
      </c>
      <c r="H71" s="238" t="s">
        <v>1428</v>
      </c>
    </row>
    <row r="72" spans="1:8" ht="18.75" x14ac:dyDescent="0.3">
      <c r="A72" s="192" t="s">
        <v>1019</v>
      </c>
      <c r="B72" s="100" t="s">
        <v>1040</v>
      </c>
      <c r="C72" s="237" t="s">
        <v>46</v>
      </c>
      <c r="D72" s="101">
        <v>9000</v>
      </c>
      <c r="E72" s="101">
        <f>426.93+426.93+426.93</f>
        <v>1280.79</v>
      </c>
      <c r="F72" s="101"/>
      <c r="G72" s="161">
        <f t="shared" si="1"/>
        <v>7719.21</v>
      </c>
      <c r="H72" s="238" t="s">
        <v>1140</v>
      </c>
    </row>
    <row r="73" spans="1:8" ht="18.75" x14ac:dyDescent="0.3">
      <c r="A73" s="192" t="s">
        <v>687</v>
      </c>
      <c r="B73" s="100" t="s">
        <v>688</v>
      </c>
      <c r="C73" s="237" t="s">
        <v>443</v>
      </c>
      <c r="D73" s="101">
        <v>9000</v>
      </c>
      <c r="E73" s="101">
        <f>1284+1284+1284+642+642</f>
        <v>5136</v>
      </c>
      <c r="F73" s="101"/>
      <c r="G73" s="161">
        <f t="shared" si="1"/>
        <v>3864</v>
      </c>
      <c r="H73" s="238" t="s">
        <v>1140</v>
      </c>
    </row>
    <row r="74" spans="1:8" ht="18.75" x14ac:dyDescent="0.3">
      <c r="A74" s="192" t="s">
        <v>1058</v>
      </c>
      <c r="B74" s="100" t="s">
        <v>689</v>
      </c>
      <c r="C74" s="237" t="s">
        <v>444</v>
      </c>
      <c r="D74" s="101">
        <v>9000</v>
      </c>
      <c r="E74" s="101">
        <f>1476.6+1476.6+1476.6+1476.6</f>
        <v>5906.4</v>
      </c>
      <c r="F74" s="101"/>
      <c r="G74" s="161">
        <f t="shared" si="1"/>
        <v>3093.6000000000004</v>
      </c>
      <c r="H74" s="238" t="s">
        <v>1428</v>
      </c>
    </row>
    <row r="75" spans="1:8" ht="18.75" x14ac:dyDescent="0.3">
      <c r="A75" s="192" t="s">
        <v>1019</v>
      </c>
      <c r="B75" s="100" t="s">
        <v>1044</v>
      </c>
      <c r="C75" s="237" t="s">
        <v>445</v>
      </c>
      <c r="D75" s="328">
        <v>12000</v>
      </c>
      <c r="E75" s="101">
        <f>1893.9+1893.9</f>
        <v>3787.8</v>
      </c>
      <c r="F75" s="101"/>
      <c r="G75" s="161">
        <f t="shared" si="1"/>
        <v>8212.2000000000007</v>
      </c>
      <c r="H75" s="246" t="s">
        <v>1279</v>
      </c>
    </row>
    <row r="76" spans="1:8" ht="18.75" x14ac:dyDescent="0.3">
      <c r="A76" s="192" t="s">
        <v>634</v>
      </c>
      <c r="B76" s="100" t="s">
        <v>798</v>
      </c>
      <c r="C76" s="237" t="s">
        <v>446</v>
      </c>
      <c r="D76" s="101">
        <v>9000</v>
      </c>
      <c r="E76" s="101">
        <f>1498+1498+1498</f>
        <v>4494</v>
      </c>
      <c r="F76" s="101"/>
      <c r="G76" s="161">
        <f t="shared" si="1"/>
        <v>4506</v>
      </c>
      <c r="H76" s="238" t="s">
        <v>1140</v>
      </c>
    </row>
    <row r="77" spans="1:8" ht="18.75" x14ac:dyDescent="0.3">
      <c r="A77" s="192" t="s">
        <v>634</v>
      </c>
      <c r="B77" s="100" t="s">
        <v>798</v>
      </c>
      <c r="C77" s="237" t="s">
        <v>447</v>
      </c>
      <c r="D77" s="101">
        <v>9000</v>
      </c>
      <c r="E77" s="101">
        <f>1300+1300+1300</f>
        <v>3900</v>
      </c>
      <c r="F77" s="101"/>
      <c r="G77" s="161">
        <f t="shared" si="1"/>
        <v>5100</v>
      </c>
      <c r="H77" s="238" t="s">
        <v>1140</v>
      </c>
    </row>
    <row r="78" spans="1:8" ht="18.75" x14ac:dyDescent="0.3">
      <c r="A78" s="192" t="s">
        <v>795</v>
      </c>
      <c r="B78" s="100" t="s">
        <v>813</v>
      </c>
      <c r="C78" s="237" t="s">
        <v>448</v>
      </c>
      <c r="D78" s="101">
        <v>9000</v>
      </c>
      <c r="E78" s="101">
        <f>1498+1498+1498</f>
        <v>4494</v>
      </c>
      <c r="F78" s="101"/>
      <c r="G78" s="161">
        <f t="shared" si="1"/>
        <v>4506</v>
      </c>
      <c r="H78" s="238" t="s">
        <v>1140</v>
      </c>
    </row>
    <row r="79" spans="1:8" ht="18.75" x14ac:dyDescent="0.3">
      <c r="A79" s="192" t="s">
        <v>634</v>
      </c>
      <c r="B79" s="100" t="s">
        <v>799</v>
      </c>
      <c r="C79" s="237" t="s">
        <v>449</v>
      </c>
      <c r="D79" s="101">
        <v>12000</v>
      </c>
      <c r="E79" s="101">
        <f>1926+1926+1926</f>
        <v>5778</v>
      </c>
      <c r="F79" s="101"/>
      <c r="G79" s="161">
        <f t="shared" si="1"/>
        <v>6222</v>
      </c>
      <c r="H79" s="238" t="s">
        <v>1140</v>
      </c>
    </row>
    <row r="80" spans="1:8" ht="18.75" x14ac:dyDescent="0.3">
      <c r="A80" s="192" t="s">
        <v>795</v>
      </c>
      <c r="B80" s="100" t="s">
        <v>814</v>
      </c>
      <c r="C80" s="237" t="s">
        <v>450</v>
      </c>
      <c r="D80" s="101">
        <v>12000</v>
      </c>
      <c r="E80" s="101">
        <f>1926+1926+1926</f>
        <v>5778</v>
      </c>
      <c r="F80" s="101"/>
      <c r="G80" s="161">
        <f t="shared" si="1"/>
        <v>6222</v>
      </c>
      <c r="H80" s="238" t="s">
        <v>1140</v>
      </c>
    </row>
    <row r="81" spans="1:8" ht="18.75" x14ac:dyDescent="0.3">
      <c r="A81" s="192" t="s">
        <v>795</v>
      </c>
      <c r="B81" s="100" t="s">
        <v>814</v>
      </c>
      <c r="C81" s="237" t="s">
        <v>451</v>
      </c>
      <c r="D81" s="101">
        <v>9000</v>
      </c>
      <c r="E81" s="101">
        <f>738.3+738.3+738.3+738.3</f>
        <v>2953.2</v>
      </c>
      <c r="F81" s="101"/>
      <c r="G81" s="161">
        <f t="shared" si="1"/>
        <v>6046.8</v>
      </c>
      <c r="H81" s="238" t="s">
        <v>1428</v>
      </c>
    </row>
    <row r="82" spans="1:8" ht="18.75" x14ac:dyDescent="0.3">
      <c r="A82" s="192" t="s">
        <v>634</v>
      </c>
      <c r="B82" s="100" t="s">
        <v>800</v>
      </c>
      <c r="C82" s="237" t="s">
        <v>452</v>
      </c>
      <c r="D82" s="101">
        <v>12000</v>
      </c>
      <c r="E82" s="101">
        <f>1957.03+1957.03+1957.03+1957.03</f>
        <v>7828.12</v>
      </c>
      <c r="F82" s="101"/>
      <c r="G82" s="161">
        <f t="shared" si="1"/>
        <v>4171.88</v>
      </c>
      <c r="H82" s="238" t="s">
        <v>1428</v>
      </c>
    </row>
    <row r="83" spans="1:8" ht="18.75" x14ac:dyDescent="0.3">
      <c r="A83" s="192" t="s">
        <v>634</v>
      </c>
      <c r="B83" s="100" t="s">
        <v>800</v>
      </c>
      <c r="C83" s="237" t="s">
        <v>453</v>
      </c>
      <c r="D83" s="101">
        <v>12000</v>
      </c>
      <c r="E83" s="101">
        <f>1957.03+1957.03+1957.03+1957.03</f>
        <v>7828.12</v>
      </c>
      <c r="F83" s="101"/>
      <c r="G83" s="161">
        <f t="shared" si="1"/>
        <v>4171.88</v>
      </c>
      <c r="H83" s="238" t="s">
        <v>1428</v>
      </c>
    </row>
    <row r="84" spans="1:8" ht="18.75" x14ac:dyDescent="0.3">
      <c r="A84" s="192" t="s">
        <v>634</v>
      </c>
      <c r="B84" s="100" t="s">
        <v>800</v>
      </c>
      <c r="C84" s="237" t="s">
        <v>454</v>
      </c>
      <c r="D84" s="101">
        <v>9000</v>
      </c>
      <c r="E84" s="101">
        <f>738.3+738.3+738.3+738.3</f>
        <v>2953.2</v>
      </c>
      <c r="F84" s="101"/>
      <c r="G84" s="161">
        <f t="shared" si="1"/>
        <v>6046.8</v>
      </c>
      <c r="H84" s="238" t="s">
        <v>1428</v>
      </c>
    </row>
    <row r="85" spans="1:8" ht="18.75" x14ac:dyDescent="0.3">
      <c r="A85" s="192" t="s">
        <v>795</v>
      </c>
      <c r="B85" s="100" t="s">
        <v>814</v>
      </c>
      <c r="C85" s="237" t="s">
        <v>455</v>
      </c>
      <c r="D85" s="101">
        <v>9000</v>
      </c>
      <c r="E85" s="101">
        <f>1498+1498+1498</f>
        <v>4494</v>
      </c>
      <c r="F85" s="101"/>
      <c r="G85" s="161">
        <f t="shared" si="1"/>
        <v>4506</v>
      </c>
      <c r="H85" s="238" t="s">
        <v>1140</v>
      </c>
    </row>
    <row r="86" spans="1:8" ht="18.75" x14ac:dyDescent="0.3">
      <c r="A86" s="192" t="s">
        <v>634</v>
      </c>
      <c r="B86" s="100" t="s">
        <v>799</v>
      </c>
      <c r="C86" s="237" t="s">
        <v>456</v>
      </c>
      <c r="D86" s="101">
        <v>9000</v>
      </c>
      <c r="E86" s="101">
        <f>1498+1498+1498</f>
        <v>4494</v>
      </c>
      <c r="F86" s="101"/>
      <c r="G86" s="161">
        <f t="shared" si="1"/>
        <v>4506</v>
      </c>
      <c r="H86" s="238" t="s">
        <v>1140</v>
      </c>
    </row>
    <row r="87" spans="1:8" ht="18.75" x14ac:dyDescent="0.3">
      <c r="A87" s="192" t="s">
        <v>1060</v>
      </c>
      <c r="B87" s="100" t="s">
        <v>799</v>
      </c>
      <c r="C87" s="237" t="s">
        <v>457</v>
      </c>
      <c r="D87" s="101">
        <v>9000</v>
      </c>
      <c r="E87" s="101">
        <f>1476.6+1476.6+1476.6+1476.6</f>
        <v>5906.4</v>
      </c>
      <c r="F87" s="101"/>
      <c r="G87" s="161">
        <f t="shared" ref="G87:G150" si="2">D87-E87</f>
        <v>3093.6000000000004</v>
      </c>
      <c r="H87" s="238" t="s">
        <v>1429</v>
      </c>
    </row>
    <row r="88" spans="1:8" ht="18.75" x14ac:dyDescent="0.3">
      <c r="A88" s="192" t="s">
        <v>634</v>
      </c>
      <c r="B88" s="100" t="s">
        <v>799</v>
      </c>
      <c r="C88" s="237" t="s">
        <v>49</v>
      </c>
      <c r="D88" s="101">
        <v>12000</v>
      </c>
      <c r="E88" s="101">
        <f>1926+1926+1926</f>
        <v>5778</v>
      </c>
      <c r="F88" s="101"/>
      <c r="G88" s="161">
        <f t="shared" si="2"/>
        <v>6222</v>
      </c>
      <c r="H88" s="238" t="s">
        <v>1278</v>
      </c>
    </row>
    <row r="89" spans="1:8" ht="18.75" x14ac:dyDescent="0.3">
      <c r="A89" s="192"/>
      <c r="B89" s="100">
        <v>68</v>
      </c>
      <c r="C89" s="325" t="s">
        <v>458</v>
      </c>
      <c r="D89" s="101">
        <v>12000</v>
      </c>
      <c r="E89" s="101"/>
      <c r="F89" s="101"/>
      <c r="G89" s="161">
        <f t="shared" si="2"/>
        <v>12000</v>
      </c>
      <c r="H89" s="238"/>
    </row>
    <row r="90" spans="1:8" ht="18.75" x14ac:dyDescent="0.3">
      <c r="A90" s="192" t="s">
        <v>634</v>
      </c>
      <c r="B90" s="100" t="s">
        <v>800</v>
      </c>
      <c r="C90" s="237" t="s">
        <v>82</v>
      </c>
      <c r="D90" s="101">
        <v>12000</v>
      </c>
      <c r="E90" s="101">
        <f>738.3+738.3+738.3+738.3</f>
        <v>2953.2</v>
      </c>
      <c r="F90" s="101"/>
      <c r="G90" s="161">
        <f t="shared" si="2"/>
        <v>9046.7999999999993</v>
      </c>
      <c r="H90" s="238" t="s">
        <v>1429</v>
      </c>
    </row>
    <row r="91" spans="1:8" ht="18.75" x14ac:dyDescent="0.3">
      <c r="A91" s="192" t="s">
        <v>634</v>
      </c>
      <c r="B91" s="100" t="s">
        <v>800</v>
      </c>
      <c r="C91" s="237" t="s">
        <v>459</v>
      </c>
      <c r="D91" s="101">
        <v>21000</v>
      </c>
      <c r="E91" s="101">
        <f>3156.5+3156.5+3156.5+3156.5</f>
        <v>12626</v>
      </c>
      <c r="F91" s="101"/>
      <c r="G91" s="161">
        <f t="shared" si="2"/>
        <v>8374</v>
      </c>
      <c r="H91" s="238" t="s">
        <v>1429</v>
      </c>
    </row>
    <row r="92" spans="1:8" ht="18.75" x14ac:dyDescent="0.3">
      <c r="A92" s="192" t="s">
        <v>634</v>
      </c>
      <c r="B92" s="100" t="s">
        <v>800</v>
      </c>
      <c r="C92" s="237" t="s">
        <v>460</v>
      </c>
      <c r="D92" s="101">
        <v>9000</v>
      </c>
      <c r="E92" s="101">
        <f>1476.6+1476.6+1476.6+1476.6</f>
        <v>5906.4</v>
      </c>
      <c r="F92" s="101"/>
      <c r="G92" s="161">
        <f t="shared" si="2"/>
        <v>3093.6000000000004</v>
      </c>
      <c r="H92" s="238" t="s">
        <v>1428</v>
      </c>
    </row>
    <row r="93" spans="1:8" ht="18.75" x14ac:dyDescent="0.3">
      <c r="A93" s="192" t="s">
        <v>634</v>
      </c>
      <c r="B93" s="100" t="s">
        <v>800</v>
      </c>
      <c r="C93" s="237" t="s">
        <v>36</v>
      </c>
      <c r="D93" s="101">
        <v>12000</v>
      </c>
      <c r="E93" s="101">
        <f>749+749+749+749</f>
        <v>2996</v>
      </c>
      <c r="F93" s="101"/>
      <c r="G93" s="161">
        <f t="shared" si="2"/>
        <v>9004</v>
      </c>
      <c r="H93" s="238" t="s">
        <v>1428</v>
      </c>
    </row>
    <row r="94" spans="1:8" ht="18.75" x14ac:dyDescent="0.3">
      <c r="A94" s="192" t="s">
        <v>638</v>
      </c>
      <c r="B94" s="100" t="s">
        <v>799</v>
      </c>
      <c r="C94" s="237" t="s">
        <v>461</v>
      </c>
      <c r="D94" s="101">
        <v>9000</v>
      </c>
      <c r="E94" s="101">
        <f>1476.6+1476.6+1476.6+1476.6</f>
        <v>5906.4</v>
      </c>
      <c r="F94" s="101"/>
      <c r="G94" s="161">
        <f t="shared" si="2"/>
        <v>3093.6000000000004</v>
      </c>
      <c r="H94" s="238" t="s">
        <v>1428</v>
      </c>
    </row>
    <row r="95" spans="1:8" ht="18.75" x14ac:dyDescent="0.3">
      <c r="A95" s="192" t="s">
        <v>634</v>
      </c>
      <c r="B95" s="100" t="s">
        <v>800</v>
      </c>
      <c r="C95" s="237" t="s">
        <v>48</v>
      </c>
      <c r="D95" s="101">
        <v>9000</v>
      </c>
      <c r="E95" s="101">
        <f>1476.6+1476.6+1476.6+1476.6</f>
        <v>5906.4</v>
      </c>
      <c r="F95" s="101"/>
      <c r="G95" s="161">
        <f t="shared" si="2"/>
        <v>3093.6000000000004</v>
      </c>
      <c r="H95" s="238" t="s">
        <v>1140</v>
      </c>
    </row>
    <row r="96" spans="1:8" ht="18.75" x14ac:dyDescent="0.3">
      <c r="A96" s="192" t="s">
        <v>634</v>
      </c>
      <c r="B96" s="100" t="s">
        <v>798</v>
      </c>
      <c r="C96" s="237" t="s">
        <v>462</v>
      </c>
      <c r="D96" s="101">
        <v>9000</v>
      </c>
      <c r="E96" s="101">
        <f>1300+1300+1300</f>
        <v>3900</v>
      </c>
      <c r="F96" s="101"/>
      <c r="G96" s="161">
        <f t="shared" si="2"/>
        <v>5100</v>
      </c>
      <c r="H96" s="238" t="s">
        <v>1140</v>
      </c>
    </row>
    <row r="97" spans="1:8" ht="18.75" x14ac:dyDescent="0.3">
      <c r="A97" s="192" t="s">
        <v>634</v>
      </c>
      <c r="B97" s="100" t="s">
        <v>799</v>
      </c>
      <c r="C97" s="237" t="s">
        <v>463</v>
      </c>
      <c r="D97" s="101">
        <v>21000</v>
      </c>
      <c r="E97" s="101">
        <f>3317+3317+3317</f>
        <v>9951</v>
      </c>
      <c r="F97" s="101"/>
      <c r="G97" s="161">
        <f t="shared" si="2"/>
        <v>11049</v>
      </c>
      <c r="H97" s="238" t="s">
        <v>1140</v>
      </c>
    </row>
    <row r="98" spans="1:8" ht="18.75" x14ac:dyDescent="0.3">
      <c r="A98" s="192" t="s">
        <v>634</v>
      </c>
      <c r="B98" s="100" t="s">
        <v>799</v>
      </c>
      <c r="C98" s="237" t="s">
        <v>464</v>
      </c>
      <c r="D98" s="101">
        <v>9000</v>
      </c>
      <c r="E98" s="101">
        <f>749+1284+1284</f>
        <v>3317</v>
      </c>
      <c r="F98" s="101"/>
      <c r="G98" s="161">
        <f t="shared" si="2"/>
        <v>5683</v>
      </c>
      <c r="H98" s="238" t="s">
        <v>1140</v>
      </c>
    </row>
    <row r="99" spans="1:8" ht="18.75" x14ac:dyDescent="0.3">
      <c r="A99" s="192" t="s">
        <v>634</v>
      </c>
      <c r="B99" s="100" t="s">
        <v>800</v>
      </c>
      <c r="C99" s="237" t="s">
        <v>83</v>
      </c>
      <c r="D99" s="101">
        <v>12000</v>
      </c>
      <c r="E99" s="101">
        <f>1476.6+1476.6+1476.6+1476.6</f>
        <v>5906.4</v>
      </c>
      <c r="F99" s="101"/>
      <c r="G99" s="161">
        <f t="shared" si="2"/>
        <v>6093.6</v>
      </c>
      <c r="H99" s="238" t="s">
        <v>1428</v>
      </c>
    </row>
    <row r="100" spans="1:8" ht="18.75" x14ac:dyDescent="0.3">
      <c r="A100" s="192" t="s">
        <v>634</v>
      </c>
      <c r="B100" s="100" t="s">
        <v>799</v>
      </c>
      <c r="C100" s="237" t="s">
        <v>465</v>
      </c>
      <c r="D100" s="101">
        <v>9000</v>
      </c>
      <c r="E100" s="101">
        <f>1284+1284+1284</f>
        <v>3852</v>
      </c>
      <c r="F100" s="101"/>
      <c r="G100" s="161">
        <f t="shared" si="2"/>
        <v>5148</v>
      </c>
      <c r="H100" s="238" t="s">
        <v>1140</v>
      </c>
    </row>
    <row r="101" spans="1:8" ht="18.75" x14ac:dyDescent="0.3">
      <c r="A101" s="192" t="s">
        <v>634</v>
      </c>
      <c r="B101" s="100" t="s">
        <v>800</v>
      </c>
      <c r="C101" s="237" t="s">
        <v>466</v>
      </c>
      <c r="D101" s="101">
        <v>9000</v>
      </c>
      <c r="E101" s="101">
        <f>1476.6+1476.6+1476.6+1476.6</f>
        <v>5906.4</v>
      </c>
      <c r="F101" s="101"/>
      <c r="G101" s="161">
        <f t="shared" si="2"/>
        <v>3093.6000000000004</v>
      </c>
      <c r="H101" s="238" t="s">
        <v>1429</v>
      </c>
    </row>
    <row r="102" spans="1:8" ht="18.75" x14ac:dyDescent="0.3">
      <c r="A102" s="192" t="s">
        <v>634</v>
      </c>
      <c r="B102" s="100" t="s">
        <v>800</v>
      </c>
      <c r="C102" s="237" t="s">
        <v>467</v>
      </c>
      <c r="D102" s="101">
        <v>9000</v>
      </c>
      <c r="E102" s="101">
        <f>1476.6+1476.6+1476.6+1476.6</f>
        <v>5906.4</v>
      </c>
      <c r="F102" s="101"/>
      <c r="G102" s="161">
        <f t="shared" si="2"/>
        <v>3093.6000000000004</v>
      </c>
      <c r="H102" s="238" t="s">
        <v>1429</v>
      </c>
    </row>
    <row r="103" spans="1:8" ht="18.75" x14ac:dyDescent="0.3">
      <c r="A103" s="192" t="s">
        <v>634</v>
      </c>
      <c r="B103" s="100" t="s">
        <v>799</v>
      </c>
      <c r="C103" s="237" t="s">
        <v>468</v>
      </c>
      <c r="D103" s="101">
        <v>9000</v>
      </c>
      <c r="E103" s="101">
        <f>631.3+631.3+631.3</f>
        <v>1893.8999999999999</v>
      </c>
      <c r="F103" s="101"/>
      <c r="G103" s="161">
        <f t="shared" si="2"/>
        <v>7106.1</v>
      </c>
      <c r="H103" s="238" t="s">
        <v>1278</v>
      </c>
    </row>
    <row r="104" spans="1:8" ht="18.75" x14ac:dyDescent="0.3">
      <c r="A104" s="192"/>
      <c r="B104" s="100">
        <v>83</v>
      </c>
      <c r="C104" s="325" t="s">
        <v>92</v>
      </c>
      <c r="D104" s="101">
        <v>9000</v>
      </c>
      <c r="E104" s="101"/>
      <c r="F104" s="101"/>
      <c r="G104" s="161">
        <f t="shared" si="2"/>
        <v>9000</v>
      </c>
      <c r="H104" s="238"/>
    </row>
    <row r="105" spans="1:8" ht="18.75" x14ac:dyDescent="0.3">
      <c r="A105" s="192"/>
      <c r="B105" s="100">
        <v>84</v>
      </c>
      <c r="C105" s="239" t="s">
        <v>469</v>
      </c>
      <c r="D105" s="240">
        <v>9000</v>
      </c>
      <c r="E105" s="101"/>
      <c r="F105" s="101"/>
      <c r="G105" s="327">
        <f t="shared" si="2"/>
        <v>9000</v>
      </c>
      <c r="H105" s="241" t="s">
        <v>544</v>
      </c>
    </row>
    <row r="106" spans="1:8" ht="18.75" x14ac:dyDescent="0.3">
      <c r="A106" s="192"/>
      <c r="B106" s="100">
        <v>85</v>
      </c>
      <c r="C106" s="237" t="s">
        <v>50</v>
      </c>
      <c r="D106" s="101">
        <v>9000</v>
      </c>
      <c r="E106" s="101"/>
      <c r="F106" s="101"/>
      <c r="G106" s="161">
        <f t="shared" si="2"/>
        <v>9000</v>
      </c>
      <c r="H106" s="238"/>
    </row>
    <row r="107" spans="1:8" ht="18.75" x14ac:dyDescent="0.3">
      <c r="A107" s="192" t="s">
        <v>634</v>
      </c>
      <c r="B107" s="100" t="s">
        <v>799</v>
      </c>
      <c r="C107" s="237" t="s">
        <v>470</v>
      </c>
      <c r="D107" s="101">
        <v>12000</v>
      </c>
      <c r="E107" s="101">
        <f>1926+1926+1926+1936</f>
        <v>7714</v>
      </c>
      <c r="F107" s="101"/>
      <c r="G107" s="161">
        <f t="shared" si="2"/>
        <v>4286</v>
      </c>
      <c r="H107" s="238" t="s">
        <v>1428</v>
      </c>
    </row>
    <row r="108" spans="1:8" ht="18.75" x14ac:dyDescent="0.3">
      <c r="A108" s="192" t="s">
        <v>634</v>
      </c>
      <c r="B108" s="100" t="s">
        <v>799</v>
      </c>
      <c r="C108" s="237" t="s">
        <v>471</v>
      </c>
      <c r="D108" s="101">
        <v>9000</v>
      </c>
      <c r="E108" s="101">
        <f>749+749+749</f>
        <v>2247</v>
      </c>
      <c r="F108" s="101"/>
      <c r="G108" s="161">
        <f t="shared" si="2"/>
        <v>6753</v>
      </c>
      <c r="H108" s="238" t="s">
        <v>1140</v>
      </c>
    </row>
    <row r="109" spans="1:8" ht="18.75" x14ac:dyDescent="0.3">
      <c r="A109" s="192" t="s">
        <v>634</v>
      </c>
      <c r="B109" s="100" t="s">
        <v>799</v>
      </c>
      <c r="C109" s="237" t="s">
        <v>472</v>
      </c>
      <c r="D109" s="101">
        <v>12000</v>
      </c>
      <c r="E109" s="101">
        <f>1926+1926+1926</f>
        <v>5778</v>
      </c>
      <c r="F109" s="101"/>
      <c r="G109" s="161">
        <f t="shared" si="2"/>
        <v>6222</v>
      </c>
      <c r="H109" s="238" t="s">
        <v>1140</v>
      </c>
    </row>
    <row r="110" spans="1:8" ht="18.75" x14ac:dyDescent="0.3">
      <c r="A110" s="192" t="s">
        <v>634</v>
      </c>
      <c r="B110" s="100" t="s">
        <v>798</v>
      </c>
      <c r="C110" s="237" t="s">
        <v>100</v>
      </c>
      <c r="D110" s="101">
        <v>12000</v>
      </c>
      <c r="E110" s="101">
        <f>1808.3+1808.3+1808.3</f>
        <v>5424.9</v>
      </c>
      <c r="F110" s="101"/>
      <c r="G110" s="161">
        <f t="shared" si="2"/>
        <v>6575.1</v>
      </c>
      <c r="H110" s="238" t="s">
        <v>1140</v>
      </c>
    </row>
    <row r="111" spans="1:8" ht="18.75" x14ac:dyDescent="0.3">
      <c r="A111" s="192" t="s">
        <v>1130</v>
      </c>
      <c r="B111" s="100" t="s">
        <v>1139</v>
      </c>
      <c r="C111" s="237" t="s">
        <v>93</v>
      </c>
      <c r="D111" s="101">
        <v>12000</v>
      </c>
      <c r="E111" s="101">
        <f>1476.6+1476.6+1476.6+1476.6</f>
        <v>5906.4</v>
      </c>
      <c r="F111" s="101"/>
      <c r="G111" s="161">
        <f t="shared" si="2"/>
        <v>6093.6</v>
      </c>
      <c r="H111" s="238" t="s">
        <v>1428</v>
      </c>
    </row>
    <row r="112" spans="1:8" ht="18.75" x14ac:dyDescent="0.3">
      <c r="A112" s="192" t="s">
        <v>634</v>
      </c>
      <c r="B112" s="100" t="s">
        <v>799</v>
      </c>
      <c r="C112" s="237" t="s">
        <v>473</v>
      </c>
      <c r="D112" s="101">
        <v>9000</v>
      </c>
      <c r="E112" s="101">
        <f>749+749+749</f>
        <v>2247</v>
      </c>
      <c r="F112" s="101"/>
      <c r="G112" s="161">
        <f t="shared" si="2"/>
        <v>6753</v>
      </c>
      <c r="H112" s="238" t="s">
        <v>1140</v>
      </c>
    </row>
    <row r="113" spans="1:8" ht="18.75" x14ac:dyDescent="0.3">
      <c r="A113" s="192" t="s">
        <v>1019</v>
      </c>
      <c r="B113" s="100" t="s">
        <v>1041</v>
      </c>
      <c r="C113" s="237" t="s">
        <v>474</v>
      </c>
      <c r="D113" s="101">
        <v>12000</v>
      </c>
      <c r="E113" s="101">
        <f>1476.6+1476.6+1476.6+1476.6</f>
        <v>5906.4</v>
      </c>
      <c r="F113" s="101"/>
      <c r="G113" s="161">
        <f t="shared" si="2"/>
        <v>6093.6</v>
      </c>
      <c r="H113" s="238" t="s">
        <v>1428</v>
      </c>
    </row>
    <row r="114" spans="1:8" ht="18.75" x14ac:dyDescent="0.3">
      <c r="A114" s="192" t="s">
        <v>634</v>
      </c>
      <c r="B114" s="100" t="s">
        <v>799</v>
      </c>
      <c r="C114" s="237" t="s">
        <v>51</v>
      </c>
      <c r="D114" s="101">
        <v>9000</v>
      </c>
      <c r="E114" s="101">
        <f>1476.6+1476.6+1476.6+1476.6</f>
        <v>5906.4</v>
      </c>
      <c r="F114" s="101"/>
      <c r="G114" s="161">
        <f t="shared" si="2"/>
        <v>3093.6000000000004</v>
      </c>
      <c r="H114" s="238" t="s">
        <v>1428</v>
      </c>
    </row>
    <row r="115" spans="1:8" ht="18.75" x14ac:dyDescent="0.3">
      <c r="A115" s="192" t="s">
        <v>795</v>
      </c>
      <c r="B115" s="100" t="s">
        <v>812</v>
      </c>
      <c r="C115" s="237" t="s">
        <v>475</v>
      </c>
      <c r="D115" s="101">
        <v>30000</v>
      </c>
      <c r="E115" s="101">
        <f>5000+5000+5000+5000</f>
        <v>20000</v>
      </c>
      <c r="F115" s="101"/>
      <c r="G115" s="161">
        <f t="shared" si="2"/>
        <v>10000</v>
      </c>
      <c r="H115" s="238" t="s">
        <v>1280</v>
      </c>
    </row>
    <row r="116" spans="1:8" ht="18.75" x14ac:dyDescent="0.3">
      <c r="A116" s="192" t="s">
        <v>854</v>
      </c>
      <c r="B116" s="100" t="s">
        <v>855</v>
      </c>
      <c r="C116" s="237" t="s">
        <v>89</v>
      </c>
      <c r="D116" s="101">
        <v>12000</v>
      </c>
      <c r="E116" s="101">
        <f>1498+1498+1498+1498</f>
        <v>5992</v>
      </c>
      <c r="F116" s="101"/>
      <c r="G116" s="161">
        <f t="shared" si="2"/>
        <v>6008</v>
      </c>
      <c r="H116" s="238" t="s">
        <v>1429</v>
      </c>
    </row>
    <row r="117" spans="1:8" ht="18.75" x14ac:dyDescent="0.3">
      <c r="A117" s="192" t="s">
        <v>1059</v>
      </c>
      <c r="B117" s="100" t="s">
        <v>855</v>
      </c>
      <c r="C117" s="237" t="s">
        <v>476</v>
      </c>
      <c r="D117" s="101">
        <v>9000</v>
      </c>
      <c r="E117" s="101">
        <f>1476.6+1476.6+1476.6+1476.6</f>
        <v>5906.4</v>
      </c>
      <c r="F117" s="101"/>
      <c r="G117" s="161">
        <f t="shared" si="2"/>
        <v>3093.6000000000004</v>
      </c>
      <c r="H117" s="238" t="s">
        <v>1429</v>
      </c>
    </row>
    <row r="118" spans="1:8" ht="18.75" x14ac:dyDescent="0.3">
      <c r="A118" s="192"/>
      <c r="B118" s="100">
        <v>97</v>
      </c>
      <c r="C118" s="239" t="s">
        <v>477</v>
      </c>
      <c r="D118" s="240">
        <v>9000</v>
      </c>
      <c r="E118" s="101"/>
      <c r="F118" s="101"/>
      <c r="G118" s="327">
        <f t="shared" si="2"/>
        <v>9000</v>
      </c>
      <c r="H118" s="241" t="s">
        <v>544</v>
      </c>
    </row>
    <row r="119" spans="1:8" ht="18.75" x14ac:dyDescent="0.3">
      <c r="A119" s="192" t="s">
        <v>634</v>
      </c>
      <c r="B119" s="100" t="s">
        <v>799</v>
      </c>
      <c r="C119" s="237" t="s">
        <v>478</v>
      </c>
      <c r="D119" s="101">
        <v>21000</v>
      </c>
      <c r="E119" s="101">
        <f>3317+3317+3317</f>
        <v>9951</v>
      </c>
      <c r="F119" s="101"/>
      <c r="G119" s="161">
        <f t="shared" si="2"/>
        <v>11049</v>
      </c>
      <c r="H119" s="238" t="s">
        <v>1140</v>
      </c>
    </row>
    <row r="120" spans="1:8" ht="18.75" x14ac:dyDescent="0.3">
      <c r="A120" s="192" t="s">
        <v>888</v>
      </c>
      <c r="B120" s="100" t="s">
        <v>898</v>
      </c>
      <c r="C120" s="237" t="s">
        <v>61</v>
      </c>
      <c r="D120" s="101">
        <v>21000</v>
      </c>
      <c r="E120" s="101">
        <f>2996+2996+2996</f>
        <v>8988</v>
      </c>
      <c r="F120" s="101"/>
      <c r="G120" s="161">
        <f t="shared" si="2"/>
        <v>12012</v>
      </c>
      <c r="H120" s="238" t="s">
        <v>1140</v>
      </c>
    </row>
    <row r="121" spans="1:8" ht="18.75" x14ac:dyDescent="0.3">
      <c r="A121" s="192" t="s">
        <v>634</v>
      </c>
      <c r="B121" s="100" t="s">
        <v>799</v>
      </c>
      <c r="C121" s="237" t="s">
        <v>479</v>
      </c>
      <c r="D121" s="101">
        <v>9000</v>
      </c>
      <c r="E121" s="101">
        <f>749+749+749+749</f>
        <v>2996</v>
      </c>
      <c r="F121" s="101"/>
      <c r="G121" s="161">
        <f t="shared" si="2"/>
        <v>6004</v>
      </c>
      <c r="H121" s="238" t="s">
        <v>1428</v>
      </c>
    </row>
    <row r="122" spans="1:8" ht="18.75" x14ac:dyDescent="0.3">
      <c r="A122" s="192"/>
      <c r="B122" s="100">
        <v>101</v>
      </c>
      <c r="C122" s="237" t="s">
        <v>480</v>
      </c>
      <c r="D122" s="240">
        <v>9000</v>
      </c>
      <c r="E122" s="101"/>
      <c r="F122" s="101"/>
      <c r="G122" s="327">
        <f t="shared" si="2"/>
        <v>9000</v>
      </c>
      <c r="H122" s="241" t="s">
        <v>1061</v>
      </c>
    </row>
    <row r="123" spans="1:8" ht="18.75" x14ac:dyDescent="0.3">
      <c r="A123" s="192" t="s">
        <v>634</v>
      </c>
      <c r="B123" s="100" t="s">
        <v>798</v>
      </c>
      <c r="C123" s="237" t="s">
        <v>481</v>
      </c>
      <c r="D123" s="101">
        <v>9000</v>
      </c>
      <c r="E123" s="101">
        <f>1300+1300+1300+1300</f>
        <v>5200</v>
      </c>
      <c r="F123" s="101"/>
      <c r="G123" s="161">
        <f t="shared" si="2"/>
        <v>3800</v>
      </c>
      <c r="H123" s="238" t="s">
        <v>1428</v>
      </c>
    </row>
    <row r="124" spans="1:8" x14ac:dyDescent="0.3">
      <c r="A124" s="192" t="s">
        <v>634</v>
      </c>
      <c r="B124" s="100" t="s">
        <v>800</v>
      </c>
      <c r="C124" s="243" t="s">
        <v>482</v>
      </c>
      <c r="D124" s="101">
        <v>12000</v>
      </c>
      <c r="E124" s="101">
        <f>1904.6+1904.6+1904.6+1904.6</f>
        <v>7618.4</v>
      </c>
      <c r="F124" s="101"/>
      <c r="G124" s="161">
        <f t="shared" si="2"/>
        <v>4381.6000000000004</v>
      </c>
      <c r="H124" s="238" t="s">
        <v>1429</v>
      </c>
    </row>
    <row r="125" spans="1:8" ht="18.75" x14ac:dyDescent="0.3">
      <c r="A125" s="192" t="s">
        <v>634</v>
      </c>
      <c r="B125" s="100" t="s">
        <v>799</v>
      </c>
      <c r="C125" s="237" t="s">
        <v>483</v>
      </c>
      <c r="D125" s="101">
        <v>9000</v>
      </c>
      <c r="E125" s="101">
        <f>1498+1498+1498</f>
        <v>4494</v>
      </c>
      <c r="F125" s="101"/>
      <c r="G125" s="161">
        <f t="shared" si="2"/>
        <v>4506</v>
      </c>
      <c r="H125" s="238" t="s">
        <v>1278</v>
      </c>
    </row>
    <row r="126" spans="1:8" ht="18.75" x14ac:dyDescent="0.3">
      <c r="A126" s="192" t="s">
        <v>634</v>
      </c>
      <c r="B126" s="100" t="s">
        <v>799</v>
      </c>
      <c r="C126" s="237" t="s">
        <v>88</v>
      </c>
      <c r="D126" s="101">
        <v>21000</v>
      </c>
      <c r="E126" s="101">
        <f>3424+3424+3424</f>
        <v>10272</v>
      </c>
      <c r="F126" s="101"/>
      <c r="G126" s="161">
        <f t="shared" si="2"/>
        <v>10728</v>
      </c>
      <c r="H126" s="238" t="s">
        <v>1140</v>
      </c>
    </row>
    <row r="127" spans="1:8" ht="18.75" x14ac:dyDescent="0.3">
      <c r="A127" s="192"/>
      <c r="B127" s="100">
        <v>106</v>
      </c>
      <c r="C127" s="239" t="s">
        <v>484</v>
      </c>
      <c r="D127" s="240">
        <v>9000</v>
      </c>
      <c r="E127" s="240"/>
      <c r="F127" s="240"/>
      <c r="G127" s="327">
        <f t="shared" si="2"/>
        <v>9000</v>
      </c>
      <c r="H127" s="241" t="s">
        <v>1158</v>
      </c>
    </row>
    <row r="128" spans="1:8" ht="18.75" x14ac:dyDescent="0.3">
      <c r="A128" s="192" t="s">
        <v>634</v>
      </c>
      <c r="B128" s="100" t="s">
        <v>799</v>
      </c>
      <c r="C128" s="237" t="s">
        <v>485</v>
      </c>
      <c r="D128" s="101">
        <v>9000</v>
      </c>
      <c r="E128" s="101">
        <f>1498+1498+1498</f>
        <v>4494</v>
      </c>
      <c r="F128" s="101"/>
      <c r="G128" s="161">
        <f t="shared" si="2"/>
        <v>4506</v>
      </c>
      <c r="H128" s="238" t="s">
        <v>1140</v>
      </c>
    </row>
    <row r="129" spans="1:8" ht="18.75" x14ac:dyDescent="0.3">
      <c r="A129" s="192" t="s">
        <v>634</v>
      </c>
      <c r="B129" s="100" t="s">
        <v>799</v>
      </c>
      <c r="C129" s="237" t="s">
        <v>86</v>
      </c>
      <c r="D129" s="101">
        <v>12000</v>
      </c>
      <c r="E129" s="101">
        <f>631.3+1284+1284</f>
        <v>3199.3</v>
      </c>
      <c r="F129" s="101"/>
      <c r="G129" s="161">
        <f t="shared" si="2"/>
        <v>8800.7000000000007</v>
      </c>
      <c r="H129" s="238" t="s">
        <v>1140</v>
      </c>
    </row>
    <row r="130" spans="1:8" ht="18.75" x14ac:dyDescent="0.3">
      <c r="A130" s="192"/>
      <c r="B130" s="100">
        <v>109</v>
      </c>
      <c r="C130" s="239" t="s">
        <v>486</v>
      </c>
      <c r="D130" s="240">
        <v>9000</v>
      </c>
      <c r="E130" s="240"/>
      <c r="F130" s="240"/>
      <c r="G130" s="327">
        <f t="shared" si="2"/>
        <v>9000</v>
      </c>
      <c r="H130" s="241" t="s">
        <v>1158</v>
      </c>
    </row>
    <row r="131" spans="1:8" ht="18.75" x14ac:dyDescent="0.3">
      <c r="A131" s="192" t="s">
        <v>1019</v>
      </c>
      <c r="B131" s="100" t="s">
        <v>1042</v>
      </c>
      <c r="C131" s="237" t="s">
        <v>94</v>
      </c>
      <c r="D131" s="101">
        <v>12000</v>
      </c>
      <c r="E131" s="101">
        <f>1926+1926+1926</f>
        <v>5778</v>
      </c>
      <c r="F131" s="101"/>
      <c r="G131" s="161">
        <f t="shared" si="2"/>
        <v>6222</v>
      </c>
      <c r="H131" s="238" t="s">
        <v>1140</v>
      </c>
    </row>
    <row r="132" spans="1:8" ht="18.75" x14ac:dyDescent="0.3">
      <c r="A132" s="192" t="s">
        <v>634</v>
      </c>
      <c r="B132" s="100" t="s">
        <v>799</v>
      </c>
      <c r="C132" s="237" t="s">
        <v>487</v>
      </c>
      <c r="D132" s="101">
        <v>9000</v>
      </c>
      <c r="E132" s="101">
        <f>749+749+749</f>
        <v>2247</v>
      </c>
      <c r="F132" s="101"/>
      <c r="G132" s="161">
        <f t="shared" si="2"/>
        <v>6753</v>
      </c>
      <c r="H132" s="238" t="s">
        <v>1140</v>
      </c>
    </row>
    <row r="133" spans="1:8" ht="18.75" x14ac:dyDescent="0.3">
      <c r="A133" s="192" t="s">
        <v>634</v>
      </c>
      <c r="B133" s="100" t="s">
        <v>799</v>
      </c>
      <c r="C133" s="237" t="s">
        <v>488</v>
      </c>
      <c r="D133" s="101">
        <v>9000</v>
      </c>
      <c r="E133" s="101">
        <f>1498+1498+1498</f>
        <v>4494</v>
      </c>
      <c r="F133" s="101"/>
      <c r="G133" s="161">
        <f t="shared" si="2"/>
        <v>4506</v>
      </c>
      <c r="H133" s="238" t="s">
        <v>1140</v>
      </c>
    </row>
    <row r="134" spans="1:8" ht="18.75" x14ac:dyDescent="0.3">
      <c r="A134" s="192" t="s">
        <v>854</v>
      </c>
      <c r="B134" s="100" t="s">
        <v>857</v>
      </c>
      <c r="C134" s="237" t="s">
        <v>489</v>
      </c>
      <c r="D134" s="101">
        <v>12000</v>
      </c>
      <c r="E134" s="101">
        <f>1808.3+1808.3+1808.3</f>
        <v>5424.9</v>
      </c>
      <c r="F134" s="101"/>
      <c r="G134" s="161">
        <f t="shared" si="2"/>
        <v>6575.1</v>
      </c>
      <c r="H134" s="238" t="s">
        <v>1140</v>
      </c>
    </row>
    <row r="135" spans="1:8" ht="18.75" x14ac:dyDescent="0.3">
      <c r="A135" s="192" t="s">
        <v>854</v>
      </c>
      <c r="B135" s="100" t="s">
        <v>856</v>
      </c>
      <c r="C135" s="237" t="s">
        <v>490</v>
      </c>
      <c r="D135" s="101">
        <v>21000</v>
      </c>
      <c r="E135" s="101">
        <f>3424+3424+3424</f>
        <v>10272</v>
      </c>
      <c r="F135" s="101"/>
      <c r="G135" s="161">
        <f t="shared" si="2"/>
        <v>10728</v>
      </c>
      <c r="H135" s="238" t="s">
        <v>1140</v>
      </c>
    </row>
    <row r="136" spans="1:8" ht="18.75" x14ac:dyDescent="0.3">
      <c r="A136" s="192" t="s">
        <v>634</v>
      </c>
      <c r="B136" s="100" t="s">
        <v>799</v>
      </c>
      <c r="C136" s="237" t="s">
        <v>95</v>
      </c>
      <c r="D136" s="101">
        <v>9000</v>
      </c>
      <c r="E136" s="101">
        <f>749+749+749</f>
        <v>2247</v>
      </c>
      <c r="F136" s="101"/>
      <c r="G136" s="161">
        <f t="shared" si="2"/>
        <v>6753</v>
      </c>
      <c r="H136" s="238" t="s">
        <v>1140</v>
      </c>
    </row>
    <row r="137" spans="1:8" ht="18.75" x14ac:dyDescent="0.3">
      <c r="A137" s="192"/>
      <c r="B137" s="100">
        <v>116</v>
      </c>
      <c r="C137" s="237" t="s">
        <v>491</v>
      </c>
      <c r="D137" s="101">
        <v>9000</v>
      </c>
      <c r="E137" s="101">
        <f>1369.6+1369.6+1369.6+1369.6</f>
        <v>5478.4</v>
      </c>
      <c r="F137" s="101"/>
      <c r="G137" s="161">
        <f t="shared" si="2"/>
        <v>3521.6000000000004</v>
      </c>
      <c r="H137" s="238" t="s">
        <v>1428</v>
      </c>
    </row>
    <row r="138" spans="1:8" ht="18.75" x14ac:dyDescent="0.3">
      <c r="A138" s="192" t="s">
        <v>795</v>
      </c>
      <c r="B138" s="100" t="s">
        <v>813</v>
      </c>
      <c r="C138" s="237" t="s">
        <v>84</v>
      </c>
      <c r="D138" s="101">
        <v>21000</v>
      </c>
      <c r="E138" s="101">
        <f>3498+3498.9+3498.9</f>
        <v>10495.8</v>
      </c>
      <c r="F138" s="101"/>
      <c r="G138" s="161">
        <f t="shared" si="2"/>
        <v>10504.2</v>
      </c>
      <c r="H138" s="238" t="s">
        <v>1140</v>
      </c>
    </row>
    <row r="139" spans="1:8" ht="18.75" x14ac:dyDescent="0.3">
      <c r="A139" s="192" t="s">
        <v>634</v>
      </c>
      <c r="B139" s="100" t="s">
        <v>799</v>
      </c>
      <c r="C139" s="237" t="s">
        <v>56</v>
      </c>
      <c r="D139" s="101">
        <v>9000</v>
      </c>
      <c r="E139" s="101">
        <f>631.3+631.3+631.3</f>
        <v>1893.8999999999999</v>
      </c>
      <c r="F139" s="101"/>
      <c r="G139" s="161">
        <f t="shared" si="2"/>
        <v>7106.1</v>
      </c>
      <c r="H139" s="238" t="s">
        <v>1140</v>
      </c>
    </row>
    <row r="140" spans="1:8" ht="18.75" x14ac:dyDescent="0.3">
      <c r="A140" s="192" t="s">
        <v>888</v>
      </c>
      <c r="B140" s="100" t="s">
        <v>900</v>
      </c>
      <c r="C140" s="237" t="s">
        <v>492</v>
      </c>
      <c r="D140" s="101">
        <v>21000</v>
      </c>
      <c r="E140" s="101">
        <f>3424+3424+3424+3424</f>
        <v>13696</v>
      </c>
      <c r="F140" s="101"/>
      <c r="G140" s="161">
        <f t="shared" si="2"/>
        <v>7304</v>
      </c>
      <c r="H140" s="238" t="s">
        <v>1428</v>
      </c>
    </row>
    <row r="141" spans="1:8" ht="18.75" x14ac:dyDescent="0.3">
      <c r="A141" s="192" t="s">
        <v>634</v>
      </c>
      <c r="B141" s="100" t="s">
        <v>799</v>
      </c>
      <c r="C141" s="237" t="s">
        <v>493</v>
      </c>
      <c r="D141" s="101">
        <v>12000</v>
      </c>
      <c r="E141" s="101">
        <f>1926+1926+1926</f>
        <v>5778</v>
      </c>
      <c r="F141" s="101"/>
      <c r="G141" s="161">
        <f t="shared" si="2"/>
        <v>6222</v>
      </c>
      <c r="H141" s="238" t="s">
        <v>1140</v>
      </c>
    </row>
    <row r="142" spans="1:8" ht="18.75" x14ac:dyDescent="0.3">
      <c r="A142" s="192"/>
      <c r="B142" s="100">
        <v>121</v>
      </c>
      <c r="C142" s="237" t="s">
        <v>494</v>
      </c>
      <c r="D142" s="101">
        <v>9000</v>
      </c>
      <c r="E142" s="101">
        <f>738.3+738.3+738.3+738.3</f>
        <v>2953.2</v>
      </c>
      <c r="F142" s="101"/>
      <c r="G142" s="161">
        <f t="shared" si="2"/>
        <v>6046.8</v>
      </c>
      <c r="H142" s="238" t="s">
        <v>1428</v>
      </c>
    </row>
    <row r="143" spans="1:8" ht="18.75" x14ac:dyDescent="0.3">
      <c r="A143" s="192" t="s">
        <v>634</v>
      </c>
      <c r="B143" s="100" t="s">
        <v>800</v>
      </c>
      <c r="C143" s="237" t="s">
        <v>96</v>
      </c>
      <c r="D143" s="101">
        <v>12000</v>
      </c>
      <c r="E143" s="101">
        <f>1476.6+1476.6+1476.6+1476.6</f>
        <v>5906.4</v>
      </c>
      <c r="F143" s="101"/>
      <c r="G143" s="161">
        <f t="shared" si="2"/>
        <v>6093.6</v>
      </c>
      <c r="H143" s="238" t="s">
        <v>1428</v>
      </c>
    </row>
    <row r="144" spans="1:8" ht="18.75" x14ac:dyDescent="0.3">
      <c r="A144" s="192" t="s">
        <v>1060</v>
      </c>
      <c r="B144" s="100" t="s">
        <v>799</v>
      </c>
      <c r="C144" s="237" t="s">
        <v>495</v>
      </c>
      <c r="D144" s="101">
        <v>9000</v>
      </c>
      <c r="E144" s="101">
        <f>952.3+952.3+952.3+952.3</f>
        <v>3809.2</v>
      </c>
      <c r="F144" s="101"/>
      <c r="G144" s="161">
        <f t="shared" si="2"/>
        <v>5190.8</v>
      </c>
      <c r="H144" s="238" t="s">
        <v>1428</v>
      </c>
    </row>
    <row r="145" spans="1:8" ht="18.75" x14ac:dyDescent="0.3">
      <c r="A145" s="192" t="s">
        <v>634</v>
      </c>
      <c r="B145" s="100" t="s">
        <v>800</v>
      </c>
      <c r="C145" s="237" t="s">
        <v>496</v>
      </c>
      <c r="D145" s="101">
        <v>9000</v>
      </c>
      <c r="E145" s="101">
        <f>1476.6+1476.6+1476.6+1476.6</f>
        <v>5906.4</v>
      </c>
      <c r="F145" s="101"/>
      <c r="G145" s="161">
        <f t="shared" si="2"/>
        <v>3093.6000000000004</v>
      </c>
      <c r="H145" s="238" t="s">
        <v>1428</v>
      </c>
    </row>
    <row r="146" spans="1:8" ht="18.75" x14ac:dyDescent="0.3">
      <c r="A146" s="192" t="s">
        <v>854</v>
      </c>
      <c r="B146" s="100" t="s">
        <v>855</v>
      </c>
      <c r="C146" s="326" t="s">
        <v>497</v>
      </c>
      <c r="D146" s="101">
        <v>9000</v>
      </c>
      <c r="E146" s="101">
        <f>1449.68+1498+1498+1498</f>
        <v>5943.68</v>
      </c>
      <c r="F146" s="101"/>
      <c r="G146" s="161">
        <f t="shared" si="2"/>
        <v>3056.3199999999997</v>
      </c>
      <c r="H146" s="238" t="s">
        <v>1428</v>
      </c>
    </row>
    <row r="147" spans="1:8" ht="18.75" x14ac:dyDescent="0.3">
      <c r="A147" s="192" t="s">
        <v>634</v>
      </c>
      <c r="B147" s="100" t="s">
        <v>800</v>
      </c>
      <c r="C147" s="237" t="s">
        <v>498</v>
      </c>
      <c r="D147" s="101">
        <v>12000</v>
      </c>
      <c r="E147" s="101">
        <f>1904.6+1904.6+1904.6+1904.6</f>
        <v>7618.4</v>
      </c>
      <c r="F147" s="101"/>
      <c r="G147" s="161">
        <f t="shared" si="2"/>
        <v>4381.6000000000004</v>
      </c>
      <c r="H147" s="238" t="s">
        <v>1428</v>
      </c>
    </row>
    <row r="148" spans="1:8" ht="18.75" x14ac:dyDescent="0.3">
      <c r="A148" s="192" t="s">
        <v>634</v>
      </c>
      <c r="B148" s="100" t="s">
        <v>800</v>
      </c>
      <c r="C148" s="237" t="s">
        <v>499</v>
      </c>
      <c r="D148" s="101">
        <v>9000</v>
      </c>
      <c r="E148" s="101">
        <f>952.3+952.3+952.3+952.3</f>
        <v>3809.2</v>
      </c>
      <c r="F148" s="101"/>
      <c r="G148" s="161">
        <f t="shared" si="2"/>
        <v>5190.8</v>
      </c>
      <c r="H148" s="238" t="s">
        <v>1428</v>
      </c>
    </row>
    <row r="149" spans="1:8" ht="18.75" x14ac:dyDescent="0.3">
      <c r="A149" s="192" t="s">
        <v>634</v>
      </c>
      <c r="B149" s="100" t="s">
        <v>799</v>
      </c>
      <c r="C149" s="237" t="s">
        <v>500</v>
      </c>
      <c r="D149" s="101">
        <v>9000</v>
      </c>
      <c r="E149" s="101">
        <f>1498+1498+1498</f>
        <v>4494</v>
      </c>
      <c r="F149" s="101"/>
      <c r="G149" s="161">
        <f t="shared" si="2"/>
        <v>4506</v>
      </c>
      <c r="H149" s="238" t="s">
        <v>1140</v>
      </c>
    </row>
    <row r="150" spans="1:8" ht="18.75" x14ac:dyDescent="0.3">
      <c r="A150" s="192" t="s">
        <v>634</v>
      </c>
      <c r="B150" s="100" t="s">
        <v>799</v>
      </c>
      <c r="C150" s="237" t="s">
        <v>501</v>
      </c>
      <c r="D150" s="101">
        <v>9000</v>
      </c>
      <c r="E150" s="101">
        <f>1498+1498+1498</f>
        <v>4494</v>
      </c>
      <c r="F150" s="101"/>
      <c r="G150" s="161">
        <f t="shared" si="2"/>
        <v>4506</v>
      </c>
      <c r="H150" s="238" t="s">
        <v>1140</v>
      </c>
    </row>
    <row r="151" spans="1:8" ht="18.75" x14ac:dyDescent="0.3">
      <c r="A151" s="192" t="s">
        <v>634</v>
      </c>
      <c r="B151" s="100" t="s">
        <v>799</v>
      </c>
      <c r="C151" s="237" t="s">
        <v>502</v>
      </c>
      <c r="D151" s="101">
        <v>9000</v>
      </c>
      <c r="E151" s="101">
        <f>1498+1498+1498</f>
        <v>4494</v>
      </c>
      <c r="F151" s="101"/>
      <c r="G151" s="161">
        <f t="shared" ref="G151:G214" si="3">D151-E151</f>
        <v>4506</v>
      </c>
      <c r="H151" s="238" t="s">
        <v>1140</v>
      </c>
    </row>
    <row r="152" spans="1:8" ht="18.75" x14ac:dyDescent="0.3">
      <c r="A152" s="192" t="s">
        <v>1060</v>
      </c>
      <c r="B152" s="100" t="s">
        <v>800</v>
      </c>
      <c r="C152" s="237" t="s">
        <v>503</v>
      </c>
      <c r="D152" s="101">
        <v>12000</v>
      </c>
      <c r="E152" s="101">
        <f>909.5+909.5+909.5+909.5</f>
        <v>3638</v>
      </c>
      <c r="F152" s="101"/>
      <c r="G152" s="161">
        <f t="shared" si="3"/>
        <v>8362</v>
      </c>
      <c r="H152" s="238" t="s">
        <v>1428</v>
      </c>
    </row>
    <row r="153" spans="1:8" ht="18.75" x14ac:dyDescent="0.3">
      <c r="A153" s="192" t="s">
        <v>634</v>
      </c>
      <c r="B153" s="100" t="s">
        <v>799</v>
      </c>
      <c r="C153" s="237" t="s">
        <v>504</v>
      </c>
      <c r="D153" s="101">
        <v>12000</v>
      </c>
      <c r="E153" s="101">
        <f>1926+1926+1926</f>
        <v>5778</v>
      </c>
      <c r="F153" s="101"/>
      <c r="G153" s="161">
        <f t="shared" si="3"/>
        <v>6222</v>
      </c>
      <c r="H153" s="238" t="s">
        <v>1140</v>
      </c>
    </row>
    <row r="154" spans="1:8" ht="18.75" x14ac:dyDescent="0.3">
      <c r="A154" s="192" t="s">
        <v>634</v>
      </c>
      <c r="B154" s="100" t="s">
        <v>800</v>
      </c>
      <c r="C154" s="237" t="s">
        <v>505</v>
      </c>
      <c r="D154" s="101">
        <v>9000</v>
      </c>
      <c r="E154" s="101">
        <f>952.3+952.3+952.3+952.3</f>
        <v>3809.2</v>
      </c>
      <c r="F154" s="101"/>
      <c r="G154" s="161">
        <f t="shared" si="3"/>
        <v>5190.8</v>
      </c>
      <c r="H154" s="238" t="s">
        <v>1428</v>
      </c>
    </row>
    <row r="155" spans="1:8" ht="18.75" x14ac:dyDescent="0.3">
      <c r="A155" s="192" t="s">
        <v>634</v>
      </c>
      <c r="B155" s="100" t="s">
        <v>800</v>
      </c>
      <c r="C155" s="237" t="s">
        <v>506</v>
      </c>
      <c r="D155" s="101">
        <v>9000</v>
      </c>
      <c r="E155" s="101">
        <f>1476.6+1476.6+1476.6+1476.6</f>
        <v>5906.4</v>
      </c>
      <c r="F155" s="101"/>
      <c r="G155" s="161">
        <f t="shared" si="3"/>
        <v>3093.6000000000004</v>
      </c>
      <c r="H155" s="238" t="s">
        <v>1428</v>
      </c>
    </row>
    <row r="156" spans="1:8" ht="18.75" x14ac:dyDescent="0.3">
      <c r="A156" s="192" t="s">
        <v>795</v>
      </c>
      <c r="B156" s="100" t="s">
        <v>811</v>
      </c>
      <c r="C156" s="237" t="s">
        <v>507</v>
      </c>
      <c r="D156" s="101">
        <v>9000</v>
      </c>
      <c r="E156" s="101">
        <f>1389.93+1389.93+1389.93+1389.93</f>
        <v>5559.72</v>
      </c>
      <c r="F156" s="101"/>
      <c r="G156" s="161">
        <f t="shared" si="3"/>
        <v>3440.2799999999997</v>
      </c>
      <c r="H156" s="238" t="s">
        <v>1140</v>
      </c>
    </row>
    <row r="157" spans="1:8" ht="18.75" x14ac:dyDescent="0.3">
      <c r="A157" s="192" t="s">
        <v>634</v>
      </c>
      <c r="B157" s="100" t="s">
        <v>799</v>
      </c>
      <c r="C157" s="237" t="s">
        <v>508</v>
      </c>
      <c r="D157" s="101">
        <v>9000</v>
      </c>
      <c r="E157" s="101">
        <f>1498+1498+1498</f>
        <v>4494</v>
      </c>
      <c r="F157" s="101"/>
      <c r="G157" s="161">
        <f t="shared" si="3"/>
        <v>4506</v>
      </c>
      <c r="H157" s="238" t="s">
        <v>1140</v>
      </c>
    </row>
    <row r="158" spans="1:8" ht="18.75" x14ac:dyDescent="0.3">
      <c r="A158" s="192" t="s">
        <v>634</v>
      </c>
      <c r="B158" s="100" t="s">
        <v>799</v>
      </c>
      <c r="C158" s="237" t="s">
        <v>509</v>
      </c>
      <c r="D158" s="101">
        <v>12000</v>
      </c>
      <c r="E158" s="101">
        <f>1498+1498+1498</f>
        <v>4494</v>
      </c>
      <c r="F158" s="101"/>
      <c r="G158" s="161">
        <f t="shared" si="3"/>
        <v>7506</v>
      </c>
      <c r="H158" s="238" t="s">
        <v>1140</v>
      </c>
    </row>
    <row r="159" spans="1:8" ht="18.75" x14ac:dyDescent="0.3">
      <c r="A159" s="192" t="s">
        <v>634</v>
      </c>
      <c r="B159" s="100" t="s">
        <v>798</v>
      </c>
      <c r="C159" s="237" t="s">
        <v>53</v>
      </c>
      <c r="D159" s="101">
        <v>12000</v>
      </c>
      <c r="E159" s="101">
        <f>1808.3+1808.3+1808.3+1808.3</f>
        <v>7233.2</v>
      </c>
      <c r="F159" s="101"/>
      <c r="G159" s="161">
        <f t="shared" si="3"/>
        <v>4766.8</v>
      </c>
      <c r="H159" s="238" t="s">
        <v>1428</v>
      </c>
    </row>
    <row r="160" spans="1:8" ht="18.75" x14ac:dyDescent="0.3">
      <c r="A160" s="192" t="s">
        <v>634</v>
      </c>
      <c r="B160" s="100" t="s">
        <v>799</v>
      </c>
      <c r="C160" s="237" t="s">
        <v>85</v>
      </c>
      <c r="D160" s="101">
        <v>9000</v>
      </c>
      <c r="E160" s="101">
        <f>1498+1498+1498+1498</f>
        <v>5992</v>
      </c>
      <c r="F160" s="101"/>
      <c r="G160" s="161">
        <f t="shared" si="3"/>
        <v>3008</v>
      </c>
      <c r="H160" s="238" t="s">
        <v>1428</v>
      </c>
    </row>
    <row r="161" spans="1:8" ht="18.75" x14ac:dyDescent="0.3">
      <c r="A161" s="192" t="s">
        <v>795</v>
      </c>
      <c r="B161" s="100" t="s">
        <v>813</v>
      </c>
      <c r="C161" s="237" t="s">
        <v>510</v>
      </c>
      <c r="D161" s="101">
        <v>9000</v>
      </c>
      <c r="E161" s="101">
        <f>1498+1498+1498</f>
        <v>4494</v>
      </c>
      <c r="F161" s="101"/>
      <c r="G161" s="161">
        <f t="shared" si="3"/>
        <v>4506</v>
      </c>
      <c r="H161" s="238" t="s">
        <v>1140</v>
      </c>
    </row>
    <row r="162" spans="1:8" ht="18.75" x14ac:dyDescent="0.3">
      <c r="A162" s="192" t="s">
        <v>854</v>
      </c>
      <c r="B162" s="100">
        <v>70</v>
      </c>
      <c r="C162" s="237" t="s">
        <v>511</v>
      </c>
      <c r="D162" s="101">
        <v>12000</v>
      </c>
      <c r="E162" s="101">
        <f>1498+1498+1498+1498</f>
        <v>5992</v>
      </c>
      <c r="F162" s="101"/>
      <c r="G162" s="161">
        <f t="shared" si="3"/>
        <v>6008</v>
      </c>
      <c r="H162" s="238" t="s">
        <v>1428</v>
      </c>
    </row>
    <row r="163" spans="1:8" ht="18.75" x14ac:dyDescent="0.3">
      <c r="A163" s="192" t="s">
        <v>634</v>
      </c>
      <c r="B163" s="100" t="s">
        <v>798</v>
      </c>
      <c r="C163" s="237" t="s">
        <v>62</v>
      </c>
      <c r="D163" s="101">
        <v>12000</v>
      </c>
      <c r="E163" s="101">
        <f>1808.3+1808.3+1808.3</f>
        <v>5424.9</v>
      </c>
      <c r="F163" s="101"/>
      <c r="G163" s="161">
        <f t="shared" si="3"/>
        <v>6575.1</v>
      </c>
      <c r="H163" s="238" t="s">
        <v>1278</v>
      </c>
    </row>
    <row r="164" spans="1:8" ht="18.75" x14ac:dyDescent="0.3">
      <c r="A164" s="192" t="s">
        <v>634</v>
      </c>
      <c r="B164" s="100" t="s">
        <v>798</v>
      </c>
      <c r="C164" s="237" t="s">
        <v>512</v>
      </c>
      <c r="D164" s="101">
        <v>9000</v>
      </c>
      <c r="E164" s="101">
        <f>1498+1498+1498</f>
        <v>4494</v>
      </c>
      <c r="F164" s="101"/>
      <c r="G164" s="161">
        <f t="shared" si="3"/>
        <v>4506</v>
      </c>
      <c r="H164" s="238" t="s">
        <v>1278</v>
      </c>
    </row>
    <row r="165" spans="1:8" x14ac:dyDescent="0.3">
      <c r="A165" s="192" t="s">
        <v>1019</v>
      </c>
      <c r="B165" s="100" t="s">
        <v>1043</v>
      </c>
      <c r="C165" s="243" t="s">
        <v>513</v>
      </c>
      <c r="D165" s="101">
        <v>12000</v>
      </c>
      <c r="E165" s="101">
        <f>1600+1600</f>
        <v>3200</v>
      </c>
      <c r="F165" s="101"/>
      <c r="G165" s="161">
        <f t="shared" si="3"/>
        <v>8800</v>
      </c>
      <c r="H165" s="238" t="s">
        <v>1279</v>
      </c>
    </row>
    <row r="166" spans="1:8" ht="18.75" x14ac:dyDescent="0.3">
      <c r="A166" s="192" t="s">
        <v>634</v>
      </c>
      <c r="B166" s="100" t="s">
        <v>800</v>
      </c>
      <c r="C166" s="237" t="s">
        <v>514</v>
      </c>
      <c r="D166" s="101">
        <v>21000</v>
      </c>
      <c r="E166" s="101">
        <f>783.3+738.3+738.3+738.3</f>
        <v>2998.2</v>
      </c>
      <c r="F166" s="101"/>
      <c r="G166" s="161">
        <f t="shared" si="3"/>
        <v>18001.8</v>
      </c>
      <c r="H166" s="238" t="s">
        <v>1429</v>
      </c>
    </row>
    <row r="167" spans="1:8" ht="18.75" x14ac:dyDescent="0.3">
      <c r="A167" s="192" t="s">
        <v>854</v>
      </c>
      <c r="B167" s="100" t="s">
        <v>856</v>
      </c>
      <c r="C167" s="237" t="s">
        <v>515</v>
      </c>
      <c r="D167" s="101">
        <v>12000</v>
      </c>
      <c r="E167" s="101">
        <f>749+749+749</f>
        <v>2247</v>
      </c>
      <c r="F167" s="101"/>
      <c r="G167" s="161">
        <f t="shared" si="3"/>
        <v>9753</v>
      </c>
      <c r="H167" s="238" t="s">
        <v>1278</v>
      </c>
    </row>
    <row r="168" spans="1:8" ht="18.75" x14ac:dyDescent="0.3">
      <c r="A168" s="192" t="s">
        <v>1019</v>
      </c>
      <c r="B168" s="100" t="s">
        <v>1042</v>
      </c>
      <c r="C168" s="324" t="s">
        <v>516</v>
      </c>
      <c r="D168" s="101">
        <v>12000</v>
      </c>
      <c r="E168" s="101">
        <f>1836.26+1904.6+1904.6+1904.6</f>
        <v>7550.0599999999995</v>
      </c>
      <c r="F168" s="101"/>
      <c r="G168" s="161">
        <f t="shared" si="3"/>
        <v>4449.9400000000005</v>
      </c>
      <c r="H168" s="238" t="s">
        <v>1429</v>
      </c>
    </row>
    <row r="169" spans="1:8" ht="18.75" x14ac:dyDescent="0.3">
      <c r="A169" s="192" t="s">
        <v>634</v>
      </c>
      <c r="B169" s="100" t="s">
        <v>800</v>
      </c>
      <c r="C169" s="237" t="s">
        <v>54</v>
      </c>
      <c r="D169" s="101">
        <v>9000</v>
      </c>
      <c r="E169" s="101">
        <f>952.3+952.3+952.3+952.3</f>
        <v>3809.2</v>
      </c>
      <c r="F169" s="101"/>
      <c r="G169" s="161">
        <f t="shared" si="3"/>
        <v>5190.8</v>
      </c>
      <c r="H169" s="238" t="s">
        <v>1428</v>
      </c>
    </row>
    <row r="170" spans="1:8" ht="18.75" x14ac:dyDescent="0.3">
      <c r="A170" s="192" t="s">
        <v>1060</v>
      </c>
      <c r="B170" s="100">
        <v>149</v>
      </c>
      <c r="C170" s="237" t="s">
        <v>517</v>
      </c>
      <c r="D170" s="101">
        <v>9000</v>
      </c>
      <c r="E170" s="101">
        <f>1476+1476.6+1476.6+1476.6</f>
        <v>5905.7999999999993</v>
      </c>
      <c r="F170" s="101"/>
      <c r="G170" s="161">
        <f t="shared" si="3"/>
        <v>3094.2000000000007</v>
      </c>
      <c r="H170" s="238" t="s">
        <v>1428</v>
      </c>
    </row>
    <row r="171" spans="1:8" ht="18.75" x14ac:dyDescent="0.3">
      <c r="A171" s="192"/>
      <c r="B171" s="100">
        <v>150</v>
      </c>
      <c r="C171" s="237" t="s">
        <v>518</v>
      </c>
      <c r="D171" s="101">
        <v>9000</v>
      </c>
      <c r="E171" s="101">
        <f>952.3+952.3+952.3+952.3</f>
        <v>3809.2</v>
      </c>
      <c r="F171" s="101"/>
      <c r="G171" s="161">
        <f t="shared" si="3"/>
        <v>5190.8</v>
      </c>
      <c r="H171" s="238" t="s">
        <v>1428</v>
      </c>
    </row>
    <row r="172" spans="1:8" ht="18.75" x14ac:dyDescent="0.3">
      <c r="A172" s="192" t="s">
        <v>634</v>
      </c>
      <c r="B172" s="100" t="s">
        <v>800</v>
      </c>
      <c r="C172" s="237" t="s">
        <v>448</v>
      </c>
      <c r="D172" s="101">
        <v>9000</v>
      </c>
      <c r="E172" s="101">
        <f>952.3+952.3+952.3+952.3</f>
        <v>3809.2</v>
      </c>
      <c r="F172" s="101"/>
      <c r="G172" s="161">
        <f t="shared" si="3"/>
        <v>5190.8</v>
      </c>
      <c r="H172" s="238" t="s">
        <v>1428</v>
      </c>
    </row>
    <row r="173" spans="1:8" ht="18.75" x14ac:dyDescent="0.3">
      <c r="A173" s="192" t="s">
        <v>634</v>
      </c>
      <c r="B173" s="100" t="s">
        <v>799</v>
      </c>
      <c r="C173" s="237" t="s">
        <v>519</v>
      </c>
      <c r="D173" s="101">
        <v>12000</v>
      </c>
      <c r="E173" s="101">
        <f>1926+1926+1926</f>
        <v>5778</v>
      </c>
      <c r="F173" s="101"/>
      <c r="G173" s="161">
        <f t="shared" si="3"/>
        <v>6222</v>
      </c>
      <c r="H173" s="238" t="s">
        <v>1140</v>
      </c>
    </row>
    <row r="174" spans="1:8" ht="18.75" x14ac:dyDescent="0.3">
      <c r="A174" s="192" t="s">
        <v>634</v>
      </c>
      <c r="B174" s="100" t="s">
        <v>798</v>
      </c>
      <c r="C174" s="237" t="s">
        <v>52</v>
      </c>
      <c r="D174" s="101">
        <v>12000</v>
      </c>
      <c r="E174" s="101">
        <f>1808.3+1808.3+1808.3</f>
        <v>5424.9</v>
      </c>
      <c r="F174" s="101"/>
      <c r="G174" s="161">
        <f t="shared" si="3"/>
        <v>6575.1</v>
      </c>
      <c r="H174" s="238" t="s">
        <v>1278</v>
      </c>
    </row>
    <row r="175" spans="1:8" ht="18.75" x14ac:dyDescent="0.3">
      <c r="A175" s="192" t="s">
        <v>634</v>
      </c>
      <c r="B175" s="100" t="s">
        <v>798</v>
      </c>
      <c r="C175" s="237" t="s">
        <v>520</v>
      </c>
      <c r="D175" s="101">
        <v>21000</v>
      </c>
      <c r="E175" s="101">
        <f>3498.9+3498.9+3498.9</f>
        <v>10496.7</v>
      </c>
      <c r="F175" s="101"/>
      <c r="G175" s="161">
        <f t="shared" si="3"/>
        <v>10503.3</v>
      </c>
      <c r="H175" s="238" t="s">
        <v>1278</v>
      </c>
    </row>
    <row r="176" spans="1:8" ht="18.75" x14ac:dyDescent="0.3">
      <c r="A176" s="192" t="s">
        <v>854</v>
      </c>
      <c r="B176" s="100" t="s">
        <v>857</v>
      </c>
      <c r="C176" s="237" t="s">
        <v>521</v>
      </c>
      <c r="D176" s="101">
        <v>30000</v>
      </c>
      <c r="E176" s="101">
        <f>4815+4815+4815</f>
        <v>14445</v>
      </c>
      <c r="F176" s="101"/>
      <c r="G176" s="161">
        <f t="shared" si="3"/>
        <v>15555</v>
      </c>
      <c r="H176" s="238" t="s">
        <v>1140</v>
      </c>
    </row>
    <row r="177" spans="1:8" ht="18.75" x14ac:dyDescent="0.3">
      <c r="A177" s="192" t="s">
        <v>634</v>
      </c>
      <c r="B177" s="100" t="s">
        <v>800</v>
      </c>
      <c r="C177" s="237" t="s">
        <v>522</v>
      </c>
      <c r="D177" s="101">
        <v>9000</v>
      </c>
      <c r="E177" s="101">
        <f>952.3+952.3+952.3+952.3</f>
        <v>3809.2</v>
      </c>
      <c r="F177" s="101"/>
      <c r="G177" s="161">
        <f t="shared" si="3"/>
        <v>5190.8</v>
      </c>
      <c r="H177" s="238" t="s">
        <v>1428</v>
      </c>
    </row>
    <row r="178" spans="1:8" ht="18.75" x14ac:dyDescent="0.3">
      <c r="A178" s="192"/>
      <c r="B178" s="100">
        <v>157</v>
      </c>
      <c r="C178" s="237" t="s">
        <v>523</v>
      </c>
      <c r="D178" s="101">
        <v>9000</v>
      </c>
      <c r="E178" s="101">
        <f>738.3+738.3+738.3+738.3</f>
        <v>2953.2</v>
      </c>
      <c r="F178" s="101"/>
      <c r="G178" s="161">
        <f t="shared" si="3"/>
        <v>6046.8</v>
      </c>
      <c r="H178" s="238" t="s">
        <v>1428</v>
      </c>
    </row>
    <row r="179" spans="1:8" ht="18.75" x14ac:dyDescent="0.3">
      <c r="A179" s="192" t="s">
        <v>634</v>
      </c>
      <c r="B179" s="100" t="s">
        <v>798</v>
      </c>
      <c r="C179" s="237" t="s">
        <v>524</v>
      </c>
      <c r="D179" s="101">
        <v>21000</v>
      </c>
      <c r="E179" s="101">
        <f>3000+3000+3000</f>
        <v>9000</v>
      </c>
      <c r="F179" s="101"/>
      <c r="G179" s="161">
        <f t="shared" si="3"/>
        <v>12000</v>
      </c>
      <c r="H179" s="238" t="s">
        <v>1278</v>
      </c>
    </row>
    <row r="180" spans="1:8" ht="18.75" x14ac:dyDescent="0.3">
      <c r="A180" s="192" t="s">
        <v>634</v>
      </c>
      <c r="B180" s="100" t="s">
        <v>800</v>
      </c>
      <c r="C180" s="237" t="s">
        <v>525</v>
      </c>
      <c r="D180" s="101">
        <v>9000</v>
      </c>
      <c r="E180" s="101">
        <f>1166.3+1166.3+1166.3+1166.3</f>
        <v>4665.2</v>
      </c>
      <c r="F180" s="101"/>
      <c r="G180" s="161">
        <f t="shared" si="3"/>
        <v>4334.8</v>
      </c>
      <c r="H180" s="238" t="s">
        <v>1429</v>
      </c>
    </row>
    <row r="181" spans="1:8" ht="18.75" x14ac:dyDescent="0.3">
      <c r="A181" s="192" t="s">
        <v>795</v>
      </c>
      <c r="B181" s="100" t="s">
        <v>814</v>
      </c>
      <c r="C181" s="237" t="s">
        <v>60</v>
      </c>
      <c r="D181" s="101">
        <v>9000</v>
      </c>
      <c r="E181" s="101">
        <f>1498+1498+1498</f>
        <v>4494</v>
      </c>
      <c r="F181" s="101"/>
      <c r="G181" s="161">
        <f t="shared" si="3"/>
        <v>4506</v>
      </c>
      <c r="H181" s="238" t="s">
        <v>1278</v>
      </c>
    </row>
    <row r="182" spans="1:8" ht="18.75" x14ac:dyDescent="0.3">
      <c r="A182" s="192" t="s">
        <v>634</v>
      </c>
      <c r="B182" s="100" t="s">
        <v>798</v>
      </c>
      <c r="C182" s="237" t="s">
        <v>73</v>
      </c>
      <c r="D182" s="101">
        <v>12000</v>
      </c>
      <c r="E182" s="101">
        <f>2000+2000+2000</f>
        <v>6000</v>
      </c>
      <c r="F182" s="101"/>
      <c r="G182" s="161">
        <f t="shared" si="3"/>
        <v>6000</v>
      </c>
      <c r="H182" s="238" t="s">
        <v>1278</v>
      </c>
    </row>
    <row r="183" spans="1:8" ht="18.75" x14ac:dyDescent="0.3">
      <c r="A183" s="192" t="s">
        <v>634</v>
      </c>
      <c r="B183" s="100" t="s">
        <v>800</v>
      </c>
      <c r="C183" s="237" t="s">
        <v>99</v>
      </c>
      <c r="D183" s="101">
        <v>9000</v>
      </c>
      <c r="E183" s="101">
        <f>1476.6+1476.6+1476.6+1476.6</f>
        <v>5906.4</v>
      </c>
      <c r="F183" s="101"/>
      <c r="G183" s="161">
        <f t="shared" si="3"/>
        <v>3093.6000000000004</v>
      </c>
      <c r="H183" s="238" t="s">
        <v>1429</v>
      </c>
    </row>
    <row r="184" spans="1:8" ht="18.75" x14ac:dyDescent="0.3">
      <c r="A184" s="192" t="s">
        <v>888</v>
      </c>
      <c r="B184" s="100" t="s">
        <v>900</v>
      </c>
      <c r="C184" s="237" t="s">
        <v>526</v>
      </c>
      <c r="D184" s="101">
        <v>9000</v>
      </c>
      <c r="E184" s="101">
        <f>1498+1498+1498</f>
        <v>4494</v>
      </c>
      <c r="F184" s="101"/>
      <c r="G184" s="161">
        <f t="shared" si="3"/>
        <v>4506</v>
      </c>
      <c r="H184" s="238" t="s">
        <v>1278</v>
      </c>
    </row>
    <row r="185" spans="1:8" ht="18.75" x14ac:dyDescent="0.3">
      <c r="A185" s="192" t="s">
        <v>634</v>
      </c>
      <c r="B185" s="100" t="s">
        <v>800</v>
      </c>
      <c r="C185" s="237" t="s">
        <v>527</v>
      </c>
      <c r="D185" s="101">
        <v>9000</v>
      </c>
      <c r="E185" s="101">
        <f>1476.6+1476.6+1476.6+1476.6</f>
        <v>5906.4</v>
      </c>
      <c r="F185" s="101"/>
      <c r="G185" s="161">
        <f t="shared" si="3"/>
        <v>3093.6000000000004</v>
      </c>
      <c r="H185" s="238" t="s">
        <v>1429</v>
      </c>
    </row>
    <row r="186" spans="1:8" ht="18.75" x14ac:dyDescent="0.3">
      <c r="A186" s="192" t="s">
        <v>795</v>
      </c>
      <c r="B186" s="100" t="s">
        <v>814</v>
      </c>
      <c r="C186" s="237" t="s">
        <v>528</v>
      </c>
      <c r="D186" s="101">
        <v>9000</v>
      </c>
      <c r="E186" s="101">
        <f>749+749+749+749</f>
        <v>2996</v>
      </c>
      <c r="F186" s="101"/>
      <c r="G186" s="161">
        <f t="shared" si="3"/>
        <v>6004</v>
      </c>
      <c r="H186" s="238" t="s">
        <v>1428</v>
      </c>
    </row>
    <row r="187" spans="1:8" ht="18.75" x14ac:dyDescent="0.3">
      <c r="A187" s="192" t="s">
        <v>867</v>
      </c>
      <c r="B187" s="100" t="s">
        <v>887</v>
      </c>
      <c r="C187" s="237" t="s">
        <v>529</v>
      </c>
      <c r="D187" s="101">
        <v>9000</v>
      </c>
      <c r="E187" s="101">
        <f>749+749+749</f>
        <v>2247</v>
      </c>
      <c r="F187" s="101"/>
      <c r="G187" s="161">
        <f t="shared" si="3"/>
        <v>6753</v>
      </c>
      <c r="H187" s="238" t="s">
        <v>1140</v>
      </c>
    </row>
    <row r="188" spans="1:8" ht="18.75" x14ac:dyDescent="0.3">
      <c r="A188" s="192" t="s">
        <v>634</v>
      </c>
      <c r="B188" s="100" t="s">
        <v>800</v>
      </c>
      <c r="C188" s="237" t="s">
        <v>75</v>
      </c>
      <c r="D188" s="101">
        <v>12000</v>
      </c>
      <c r="E188" s="101">
        <f>1893.9+1893.9+1893.9+1893.9</f>
        <v>7575.6</v>
      </c>
      <c r="F188" s="101"/>
      <c r="G188" s="161">
        <f t="shared" si="3"/>
        <v>4424.3999999999996</v>
      </c>
      <c r="H188" s="238" t="s">
        <v>1428</v>
      </c>
    </row>
    <row r="189" spans="1:8" ht="18.75" x14ac:dyDescent="0.3">
      <c r="A189" s="192"/>
      <c r="B189" s="100">
        <v>168</v>
      </c>
      <c r="C189" s="239" t="s">
        <v>59</v>
      </c>
      <c r="D189" s="240">
        <v>9000</v>
      </c>
      <c r="E189" s="101"/>
      <c r="F189" s="101"/>
      <c r="G189" s="327">
        <f t="shared" si="3"/>
        <v>9000</v>
      </c>
      <c r="H189" s="241" t="s">
        <v>547</v>
      </c>
    </row>
    <row r="190" spans="1:8" x14ac:dyDescent="0.3">
      <c r="A190" s="192" t="s">
        <v>634</v>
      </c>
      <c r="B190" s="100" t="s">
        <v>798</v>
      </c>
      <c r="C190" s="244" t="s">
        <v>530</v>
      </c>
      <c r="D190" s="101">
        <v>30000</v>
      </c>
      <c r="E190" s="101">
        <f>4675.9+4675.9+4675.9</f>
        <v>14027.699999999999</v>
      </c>
      <c r="F190" s="101"/>
      <c r="G190" s="161">
        <f t="shared" si="3"/>
        <v>15972.300000000001</v>
      </c>
      <c r="H190" s="238" t="s">
        <v>1278</v>
      </c>
    </row>
    <row r="191" spans="1:8" ht="18.75" x14ac:dyDescent="0.3">
      <c r="A191" s="192" t="s">
        <v>634</v>
      </c>
      <c r="B191" s="100" t="s">
        <v>798</v>
      </c>
      <c r="C191" s="237" t="s">
        <v>531</v>
      </c>
      <c r="D191" s="101">
        <v>9000</v>
      </c>
      <c r="E191" s="101">
        <f>1500+1500+1500</f>
        <v>4500</v>
      </c>
      <c r="F191" s="101"/>
      <c r="G191" s="161">
        <f t="shared" si="3"/>
        <v>4500</v>
      </c>
      <c r="H191" s="238" t="s">
        <v>1278</v>
      </c>
    </row>
    <row r="192" spans="1:8" ht="18.75" x14ac:dyDescent="0.3">
      <c r="A192" s="192"/>
      <c r="B192" s="100">
        <v>171</v>
      </c>
      <c r="C192" s="239" t="s">
        <v>532</v>
      </c>
      <c r="D192" s="240">
        <v>9000</v>
      </c>
      <c r="E192" s="101"/>
      <c r="F192" s="101"/>
      <c r="G192" s="327">
        <f t="shared" si="3"/>
        <v>9000</v>
      </c>
      <c r="H192" s="241" t="s">
        <v>547</v>
      </c>
    </row>
    <row r="193" spans="1:8" ht="18.75" x14ac:dyDescent="0.3">
      <c r="A193" s="192" t="s">
        <v>634</v>
      </c>
      <c r="B193" s="100" t="s">
        <v>799</v>
      </c>
      <c r="C193" s="237" t="s">
        <v>58</v>
      </c>
      <c r="D193" s="101">
        <v>9000</v>
      </c>
      <c r="E193" s="101">
        <f>1498+1498+1498</f>
        <v>4494</v>
      </c>
      <c r="F193" s="101"/>
      <c r="G193" s="161">
        <f t="shared" si="3"/>
        <v>4506</v>
      </c>
      <c r="H193" s="238" t="s">
        <v>1278</v>
      </c>
    </row>
    <row r="194" spans="1:8" ht="18.75" x14ac:dyDescent="0.3">
      <c r="A194" s="192" t="s">
        <v>795</v>
      </c>
      <c r="B194" s="100" t="s">
        <v>815</v>
      </c>
      <c r="C194" s="237" t="s">
        <v>72</v>
      </c>
      <c r="D194" s="101">
        <v>9000</v>
      </c>
      <c r="E194" s="101">
        <f>1476+1476.6+1476.6+1476.6</f>
        <v>5905.7999999999993</v>
      </c>
      <c r="F194" s="101"/>
      <c r="G194" s="161">
        <f t="shared" si="3"/>
        <v>3094.2000000000007</v>
      </c>
      <c r="H194" s="238" t="s">
        <v>1429</v>
      </c>
    </row>
    <row r="195" spans="1:8" ht="18.75" x14ac:dyDescent="0.3">
      <c r="A195" s="192" t="s">
        <v>634</v>
      </c>
      <c r="B195" s="100" t="s">
        <v>798</v>
      </c>
      <c r="C195" s="237" t="s">
        <v>533</v>
      </c>
      <c r="D195" s="101">
        <v>21000</v>
      </c>
      <c r="E195" s="101">
        <f>3317+3317+3315</f>
        <v>9949</v>
      </c>
      <c r="F195" s="101"/>
      <c r="G195" s="161">
        <f t="shared" si="3"/>
        <v>11051</v>
      </c>
      <c r="H195" s="238" t="s">
        <v>1278</v>
      </c>
    </row>
    <row r="196" spans="1:8" ht="18.75" x14ac:dyDescent="0.3">
      <c r="A196" s="192"/>
      <c r="B196" s="100">
        <v>175</v>
      </c>
      <c r="C196" s="237" t="s">
        <v>534</v>
      </c>
      <c r="D196" s="101">
        <v>9000</v>
      </c>
      <c r="E196" s="101">
        <f>1476.6+1476.6+1476.6+1476.6</f>
        <v>5906.4</v>
      </c>
      <c r="F196" s="101"/>
      <c r="G196" s="161">
        <f t="shared" si="3"/>
        <v>3093.6000000000004</v>
      </c>
      <c r="H196" s="238" t="s">
        <v>1429</v>
      </c>
    </row>
    <row r="197" spans="1:8" ht="18.75" x14ac:dyDescent="0.3">
      <c r="A197" s="192" t="s">
        <v>795</v>
      </c>
      <c r="B197" s="100" t="s">
        <v>814</v>
      </c>
      <c r="C197" s="237" t="s">
        <v>535</v>
      </c>
      <c r="D197" s="101">
        <v>9000</v>
      </c>
      <c r="E197" s="101">
        <f>1498+1498+1498</f>
        <v>4494</v>
      </c>
      <c r="F197" s="101"/>
      <c r="G197" s="161">
        <f t="shared" si="3"/>
        <v>4506</v>
      </c>
      <c r="H197" s="238" t="s">
        <v>1278</v>
      </c>
    </row>
    <row r="198" spans="1:8" ht="18.75" x14ac:dyDescent="0.3">
      <c r="A198" s="192" t="s">
        <v>634</v>
      </c>
      <c r="B198" s="100" t="s">
        <v>798</v>
      </c>
      <c r="C198" s="237" t="s">
        <v>536</v>
      </c>
      <c r="D198" s="101">
        <v>12000</v>
      </c>
      <c r="E198" s="101">
        <f>1808.3+1808.3+1808.3</f>
        <v>5424.9</v>
      </c>
      <c r="F198" s="101"/>
      <c r="G198" s="161">
        <f t="shared" si="3"/>
        <v>6575.1</v>
      </c>
      <c r="H198" s="238" t="s">
        <v>1278</v>
      </c>
    </row>
    <row r="199" spans="1:8" ht="18.75" x14ac:dyDescent="0.3">
      <c r="A199" s="192" t="s">
        <v>1056</v>
      </c>
      <c r="B199" s="100" t="s">
        <v>1057</v>
      </c>
      <c r="C199" s="237" t="s">
        <v>30</v>
      </c>
      <c r="D199" s="101">
        <v>9000</v>
      </c>
      <c r="E199" s="101">
        <f>1476.6+1476.6+1476.6+1476.6</f>
        <v>5906.4</v>
      </c>
      <c r="F199" s="101"/>
      <c r="G199" s="161">
        <f t="shared" si="3"/>
        <v>3093.6000000000004</v>
      </c>
      <c r="H199" s="238" t="s">
        <v>1428</v>
      </c>
    </row>
    <row r="200" spans="1:8" ht="18.75" x14ac:dyDescent="0.3">
      <c r="A200" s="192"/>
      <c r="B200" s="100">
        <v>179</v>
      </c>
      <c r="C200" s="239" t="s">
        <v>537</v>
      </c>
      <c r="D200" s="240">
        <v>9000</v>
      </c>
      <c r="E200" s="101"/>
      <c r="F200" s="101"/>
      <c r="G200" s="327">
        <f t="shared" si="3"/>
        <v>9000</v>
      </c>
      <c r="H200" s="241" t="s">
        <v>547</v>
      </c>
    </row>
    <row r="201" spans="1:8" ht="18.75" x14ac:dyDescent="0.3">
      <c r="A201" s="192"/>
      <c r="B201" s="100">
        <v>180</v>
      </c>
      <c r="C201" s="237" t="s">
        <v>57</v>
      </c>
      <c r="D201" s="101">
        <v>9000</v>
      </c>
      <c r="E201" s="101">
        <f>1476.6+1476.6+1476.6+1476.6</f>
        <v>5906.4</v>
      </c>
      <c r="F201" s="101"/>
      <c r="G201" s="161">
        <f t="shared" si="3"/>
        <v>3093.6000000000004</v>
      </c>
      <c r="H201" s="238" t="s">
        <v>1428</v>
      </c>
    </row>
    <row r="202" spans="1:8" ht="18.75" x14ac:dyDescent="0.3">
      <c r="A202" s="192" t="s">
        <v>634</v>
      </c>
      <c r="B202" s="100" t="s">
        <v>799</v>
      </c>
      <c r="C202" s="237" t="s">
        <v>63</v>
      </c>
      <c r="D202" s="101">
        <v>30000</v>
      </c>
      <c r="E202" s="101">
        <f>4815+4815+4815</f>
        <v>14445</v>
      </c>
      <c r="F202" s="101"/>
      <c r="G202" s="161">
        <f t="shared" si="3"/>
        <v>15555</v>
      </c>
      <c r="H202" s="238" t="s">
        <v>1140</v>
      </c>
    </row>
    <row r="203" spans="1:8" ht="18.75" x14ac:dyDescent="0.3">
      <c r="A203" s="192" t="s">
        <v>634</v>
      </c>
      <c r="B203" s="100" t="s">
        <v>798</v>
      </c>
      <c r="C203" s="237" t="s">
        <v>74</v>
      </c>
      <c r="D203" s="101">
        <v>12000</v>
      </c>
      <c r="E203" s="101">
        <f>1808.3+1808.3+1808.3</f>
        <v>5424.9</v>
      </c>
      <c r="F203" s="101"/>
      <c r="G203" s="161">
        <f t="shared" si="3"/>
        <v>6575.1</v>
      </c>
      <c r="H203" s="238" t="s">
        <v>1278</v>
      </c>
    </row>
    <row r="204" spans="1:8" ht="18.75" x14ac:dyDescent="0.3">
      <c r="A204" s="192"/>
      <c r="B204" s="100">
        <v>183</v>
      </c>
      <c r="C204" s="239" t="s">
        <v>70</v>
      </c>
      <c r="D204" s="240">
        <v>12000</v>
      </c>
      <c r="E204" s="240"/>
      <c r="F204" s="240"/>
      <c r="G204" s="327">
        <f t="shared" si="3"/>
        <v>12000</v>
      </c>
      <c r="H204" s="241" t="s">
        <v>1158</v>
      </c>
    </row>
    <row r="205" spans="1:8" ht="18.75" x14ac:dyDescent="0.3">
      <c r="A205" s="192" t="s">
        <v>634</v>
      </c>
      <c r="B205" s="100" t="s">
        <v>800</v>
      </c>
      <c r="C205" s="237" t="s">
        <v>68</v>
      </c>
      <c r="D205" s="101">
        <v>12000</v>
      </c>
      <c r="E205" s="101">
        <f>1893.9+1893.9+1893.9</f>
        <v>5681.7000000000007</v>
      </c>
      <c r="F205" s="101"/>
      <c r="G205" s="161">
        <f t="shared" si="3"/>
        <v>6318.2999999999993</v>
      </c>
      <c r="H205" s="238" t="s">
        <v>1430</v>
      </c>
    </row>
    <row r="206" spans="1:8" ht="18.75" x14ac:dyDescent="0.3">
      <c r="A206" s="192"/>
      <c r="B206" s="100">
        <v>185</v>
      </c>
      <c r="C206" s="239" t="s">
        <v>538</v>
      </c>
      <c r="D206" s="240">
        <v>9000</v>
      </c>
      <c r="E206" s="101"/>
      <c r="F206" s="101"/>
      <c r="G206" s="327">
        <f t="shared" si="3"/>
        <v>9000</v>
      </c>
      <c r="H206" s="241" t="s">
        <v>544</v>
      </c>
    </row>
    <row r="207" spans="1:8" ht="18.75" x14ac:dyDescent="0.3">
      <c r="A207" s="192" t="s">
        <v>634</v>
      </c>
      <c r="B207" s="100" t="s">
        <v>800</v>
      </c>
      <c r="C207" s="237" t="s">
        <v>539</v>
      </c>
      <c r="D207" s="101">
        <v>9000</v>
      </c>
      <c r="E207" s="101">
        <f>1476.6+1476.6+1476.6+1476.6</f>
        <v>5906.4</v>
      </c>
      <c r="F207" s="101"/>
      <c r="G207" s="161">
        <f t="shared" si="3"/>
        <v>3093.6000000000004</v>
      </c>
      <c r="H207" s="238" t="s">
        <v>1427</v>
      </c>
    </row>
    <row r="208" spans="1:8" ht="18.75" x14ac:dyDescent="0.3">
      <c r="A208" s="192" t="s">
        <v>634</v>
      </c>
      <c r="B208" s="100" t="s">
        <v>800</v>
      </c>
      <c r="C208" s="237" t="s">
        <v>69</v>
      </c>
      <c r="D208" s="101">
        <v>12000</v>
      </c>
      <c r="E208" s="101">
        <f>1059.3+1059.3+1059.3+1059.3</f>
        <v>4237.2</v>
      </c>
      <c r="F208" s="101"/>
      <c r="G208" s="161">
        <f t="shared" si="3"/>
        <v>7762.8</v>
      </c>
      <c r="H208" s="238" t="s">
        <v>1427</v>
      </c>
    </row>
    <row r="209" spans="1:8" ht="18.75" x14ac:dyDescent="0.3">
      <c r="A209" s="192" t="s">
        <v>795</v>
      </c>
      <c r="B209" s="100" t="s">
        <v>814</v>
      </c>
      <c r="C209" s="237" t="s">
        <v>540</v>
      </c>
      <c r="D209" s="101">
        <v>9000</v>
      </c>
      <c r="E209" s="101">
        <f>749+749+749</f>
        <v>2247</v>
      </c>
      <c r="F209" s="101"/>
      <c r="G209" s="161">
        <f t="shared" si="3"/>
        <v>6753</v>
      </c>
      <c r="H209" s="238" t="s">
        <v>1278</v>
      </c>
    </row>
    <row r="210" spans="1:8" ht="18.75" x14ac:dyDescent="0.3">
      <c r="A210" s="192" t="s">
        <v>634</v>
      </c>
      <c r="B210" s="100" t="s">
        <v>799</v>
      </c>
      <c r="C210" s="237" t="s">
        <v>541</v>
      </c>
      <c r="D210" s="101">
        <v>9000</v>
      </c>
      <c r="E210" s="101">
        <f>1498+1498+1498</f>
        <v>4494</v>
      </c>
      <c r="F210" s="101"/>
      <c r="G210" s="161">
        <f t="shared" si="3"/>
        <v>4506</v>
      </c>
      <c r="H210" s="238" t="s">
        <v>1278</v>
      </c>
    </row>
    <row r="211" spans="1:8" ht="18.75" x14ac:dyDescent="0.3">
      <c r="A211" s="192" t="s">
        <v>634</v>
      </c>
      <c r="B211" s="100" t="s">
        <v>800</v>
      </c>
      <c r="C211" s="237" t="s">
        <v>71</v>
      </c>
      <c r="D211" s="101">
        <v>9000</v>
      </c>
      <c r="E211" s="101">
        <f>1476.6+1476.6+1476.6+1476.6</f>
        <v>5906.4</v>
      </c>
      <c r="F211" s="101"/>
      <c r="G211" s="161">
        <f t="shared" si="3"/>
        <v>3093.6000000000004</v>
      </c>
      <c r="H211" s="238" t="s">
        <v>1427</v>
      </c>
    </row>
    <row r="212" spans="1:8" ht="18.75" x14ac:dyDescent="0.3">
      <c r="A212" s="192" t="s">
        <v>634</v>
      </c>
      <c r="B212" s="100" t="s">
        <v>800</v>
      </c>
      <c r="C212" s="237" t="s">
        <v>97</v>
      </c>
      <c r="D212" s="101">
        <v>12000</v>
      </c>
      <c r="E212" s="101">
        <f>1166.3+1166.3+1166.3+1166.3</f>
        <v>4665.2</v>
      </c>
      <c r="F212" s="101"/>
      <c r="G212" s="161">
        <f t="shared" si="3"/>
        <v>7334.8</v>
      </c>
      <c r="H212" s="238" t="s">
        <v>1429</v>
      </c>
    </row>
    <row r="213" spans="1:8" ht="18.75" x14ac:dyDescent="0.3">
      <c r="A213" s="192" t="s">
        <v>1276</v>
      </c>
      <c r="B213" s="100" t="s">
        <v>1277</v>
      </c>
      <c r="C213" s="237" t="s">
        <v>542</v>
      </c>
      <c r="D213" s="101">
        <v>12000</v>
      </c>
      <c r="E213" s="101">
        <f>4263.08+1915.3</f>
        <v>6178.38</v>
      </c>
      <c r="F213" s="101"/>
      <c r="G213" s="161">
        <f t="shared" si="3"/>
        <v>5821.62</v>
      </c>
      <c r="H213" s="238" t="s">
        <v>1467</v>
      </c>
    </row>
    <row r="214" spans="1:8" ht="18.75" x14ac:dyDescent="0.3">
      <c r="A214" s="192" t="s">
        <v>634</v>
      </c>
      <c r="B214" s="100" t="s">
        <v>799</v>
      </c>
      <c r="C214" s="237" t="s">
        <v>543</v>
      </c>
      <c r="D214" s="101">
        <v>12000</v>
      </c>
      <c r="E214" s="101">
        <f>1926+1926+1926</f>
        <v>5778</v>
      </c>
      <c r="F214" s="101"/>
      <c r="G214" s="161">
        <f t="shared" si="3"/>
        <v>6222</v>
      </c>
      <c r="H214" s="238" t="s">
        <v>1140</v>
      </c>
    </row>
    <row r="215" spans="1:8" ht="18.75" x14ac:dyDescent="0.3">
      <c r="A215" s="192"/>
      <c r="B215" s="100"/>
      <c r="C215" s="279"/>
      <c r="D215" s="101"/>
      <c r="E215" s="101"/>
      <c r="F215" s="101"/>
      <c r="G215" s="161"/>
      <c r="H215" s="238"/>
    </row>
    <row r="216" spans="1:8" x14ac:dyDescent="0.3">
      <c r="A216" s="192"/>
      <c r="B216" s="107"/>
      <c r="C216" s="202"/>
      <c r="D216" s="146"/>
      <c r="E216" s="101"/>
      <c r="F216" s="101"/>
      <c r="G216" s="161"/>
      <c r="H216" s="162"/>
    </row>
    <row r="217" spans="1:8" ht="18" thickBot="1" x14ac:dyDescent="0.35">
      <c r="A217" s="118"/>
      <c r="B217" s="155"/>
      <c r="C217" s="143" t="s">
        <v>102</v>
      </c>
      <c r="D217" s="182">
        <f>SUM(D8:D216)</f>
        <v>2271000</v>
      </c>
      <c r="E217" s="313">
        <f>SUM(E6:E216)</f>
        <v>1209334.7699999993</v>
      </c>
      <c r="F217" s="182">
        <f>SUM(F6:F216)</f>
        <v>0</v>
      </c>
      <c r="G217" s="270">
        <f>D217-E217-F217</f>
        <v>1061665.2300000007</v>
      </c>
      <c r="H217" s="104"/>
    </row>
    <row r="218" spans="1:8" ht="18" thickTop="1" x14ac:dyDescent="0.3">
      <c r="D218" s="149"/>
      <c r="F218" s="189"/>
      <c r="G218" s="267"/>
    </row>
    <row r="219" spans="1:8" x14ac:dyDescent="0.3">
      <c r="D219" s="149"/>
      <c r="E219" s="144"/>
      <c r="F219" s="176"/>
    </row>
    <row r="220" spans="1:8" x14ac:dyDescent="0.3">
      <c r="D220" s="149"/>
      <c r="E220" s="144"/>
    </row>
    <row r="221" spans="1:8" x14ac:dyDescent="0.3">
      <c r="C221" s="176"/>
      <c r="E221" s="144"/>
    </row>
    <row r="222" spans="1:8" x14ac:dyDescent="0.3">
      <c r="C222" s="176"/>
      <c r="E222" s="176"/>
    </row>
    <row r="223" spans="1:8" x14ac:dyDescent="0.3">
      <c r="E223" s="151"/>
      <c r="F223" s="144"/>
    </row>
    <row r="224" spans="1:8" x14ac:dyDescent="0.3">
      <c r="B224" s="150"/>
      <c r="C224" s="158"/>
      <c r="D224" s="183"/>
      <c r="E224" s="184"/>
      <c r="G224" s="271"/>
    </row>
    <row r="225" spans="2:5" x14ac:dyDescent="0.3">
      <c r="B225" s="150"/>
      <c r="C225" s="150"/>
      <c r="D225" s="152"/>
      <c r="E225" s="151"/>
    </row>
    <row r="226" spans="2:5" x14ac:dyDescent="0.3">
      <c r="B226" s="150"/>
      <c r="C226" s="150"/>
      <c r="D226" s="152"/>
      <c r="E226" s="151"/>
    </row>
    <row r="227" spans="2:5" x14ac:dyDescent="0.3">
      <c r="B227" s="150"/>
      <c r="C227" s="150"/>
      <c r="D227" s="152"/>
      <c r="E227" s="151"/>
    </row>
    <row r="228" spans="2:5" x14ac:dyDescent="0.3">
      <c r="B228" s="150"/>
      <c r="C228" s="150"/>
      <c r="D228" s="186"/>
      <c r="E228" s="158"/>
    </row>
    <row r="229" spans="2:5" x14ac:dyDescent="0.3">
      <c r="B229" s="150"/>
      <c r="C229" s="150"/>
      <c r="D229" s="150"/>
      <c r="E229" s="151"/>
    </row>
    <row r="230" spans="2:5" x14ac:dyDescent="0.3">
      <c r="B230" s="150"/>
      <c r="C230" s="150"/>
      <c r="D230" s="150"/>
      <c r="E230" s="158"/>
    </row>
  </sheetData>
  <mergeCells count="2">
    <mergeCell ref="A1:H1"/>
    <mergeCell ref="A2:H2"/>
  </mergeCells>
  <pageMargins left="0.28000000000000003" right="0.15" top="0.15748031496062992" bottom="0.15748031496062992" header="0.15748031496062992" footer="0.1574803149606299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opLeftCell="A31" workbookViewId="0">
      <selection activeCell="P39" sqref="P39"/>
    </sheetView>
  </sheetViews>
  <sheetFormatPr defaultRowHeight="18.75" x14ac:dyDescent="0.3"/>
  <cols>
    <col min="1" max="1" width="8.140625" style="28" customWidth="1"/>
    <col min="2" max="2" width="7.85546875" style="88" bestFit="1" customWidth="1"/>
    <col min="3" max="3" width="31.28515625" style="1" customWidth="1"/>
    <col min="4" max="4" width="10.7109375" style="88" customWidth="1"/>
    <col min="5" max="5" width="11.140625" style="88" customWidth="1"/>
    <col min="6" max="6" width="9.7109375" style="88" customWidth="1"/>
    <col min="7" max="7" width="11.85546875" style="88" customWidth="1"/>
    <col min="8" max="8" width="9.7109375" style="88" customWidth="1"/>
    <col min="9" max="9" width="9.85546875" style="149" bestFit="1" customWidth="1"/>
    <col min="10" max="16384" width="9.140625" style="88"/>
  </cols>
  <sheetData>
    <row r="2" spans="1:9" ht="17.25" x14ac:dyDescent="0.3">
      <c r="A2" s="335" t="s">
        <v>190</v>
      </c>
      <c r="B2" s="335"/>
      <c r="C2" s="335"/>
      <c r="D2" s="335"/>
      <c r="E2" s="335"/>
      <c r="F2" s="335"/>
      <c r="G2" s="335"/>
      <c r="H2" s="335"/>
    </row>
    <row r="3" spans="1:9" ht="17.25" x14ac:dyDescent="0.3">
      <c r="A3" s="335" t="s">
        <v>1554</v>
      </c>
      <c r="B3" s="335"/>
      <c r="C3" s="335"/>
      <c r="D3" s="335"/>
      <c r="E3" s="335"/>
      <c r="F3" s="335"/>
      <c r="G3" s="335"/>
      <c r="H3" s="335"/>
    </row>
    <row r="4" spans="1:9" x14ac:dyDescent="0.3">
      <c r="A4" s="111" t="s">
        <v>110</v>
      </c>
      <c r="B4" s="87"/>
      <c r="C4" s="73"/>
      <c r="D4" s="87"/>
      <c r="E4" s="164"/>
      <c r="F4" s="87"/>
      <c r="G4" s="181" t="s">
        <v>5</v>
      </c>
      <c r="H4" s="181" t="s">
        <v>199</v>
      </c>
    </row>
    <row r="5" spans="1:9" x14ac:dyDescent="0.3">
      <c r="A5" s="191" t="s">
        <v>16</v>
      </c>
      <c r="B5" s="168" t="s">
        <v>12</v>
      </c>
      <c r="C5" s="75" t="s">
        <v>4</v>
      </c>
      <c r="D5" s="92" t="s">
        <v>15</v>
      </c>
      <c r="E5" s="92" t="s">
        <v>1</v>
      </c>
      <c r="F5" s="92" t="s">
        <v>32</v>
      </c>
      <c r="G5" s="93" t="s">
        <v>2</v>
      </c>
      <c r="H5" s="91" t="s">
        <v>3</v>
      </c>
    </row>
    <row r="6" spans="1:9" x14ac:dyDescent="0.3">
      <c r="A6" s="115"/>
      <c r="B6" s="94"/>
      <c r="C6" s="78"/>
      <c r="D6" s="96" t="s">
        <v>0</v>
      </c>
      <c r="E6" s="96"/>
      <c r="F6" s="96" t="s">
        <v>33</v>
      </c>
      <c r="G6" s="97"/>
      <c r="H6" s="170"/>
    </row>
    <row r="7" spans="1:9" x14ac:dyDescent="0.3">
      <c r="A7" s="192" t="s">
        <v>359</v>
      </c>
      <c r="B7" s="100" t="s">
        <v>378</v>
      </c>
      <c r="C7" s="234" t="s">
        <v>379</v>
      </c>
      <c r="D7" s="103">
        <v>1717000</v>
      </c>
      <c r="E7" s="103"/>
      <c r="F7" s="103"/>
      <c r="G7" s="226">
        <f>D7</f>
        <v>1717000</v>
      </c>
      <c r="H7" s="85"/>
    </row>
    <row r="8" spans="1:9" x14ac:dyDescent="0.3">
      <c r="A8" s="192"/>
      <c r="B8" s="100"/>
      <c r="C8" s="234"/>
      <c r="D8" s="103"/>
      <c r="E8" s="103"/>
      <c r="F8" s="103"/>
      <c r="G8" s="102"/>
      <c r="H8" s="104"/>
    </row>
    <row r="9" spans="1:9" x14ac:dyDescent="0.3">
      <c r="A9" s="192" t="s">
        <v>792</v>
      </c>
      <c r="B9" s="100" t="s">
        <v>806</v>
      </c>
      <c r="C9" s="234" t="s">
        <v>380</v>
      </c>
      <c r="D9" s="103">
        <v>37500</v>
      </c>
      <c r="E9" s="103">
        <f>15000+22500</f>
        <v>37500</v>
      </c>
      <c r="F9" s="103"/>
      <c r="G9" s="266">
        <f>D9-E9</f>
        <v>0</v>
      </c>
      <c r="H9" s="104" t="s">
        <v>1236</v>
      </c>
    </row>
    <row r="10" spans="1:9" x14ac:dyDescent="0.3">
      <c r="A10" s="192" t="s">
        <v>741</v>
      </c>
      <c r="B10" s="100" t="s">
        <v>760</v>
      </c>
      <c r="C10" s="234" t="s">
        <v>381</v>
      </c>
      <c r="D10" s="103">
        <v>3000</v>
      </c>
      <c r="E10" s="103">
        <f>1200+1800</f>
        <v>3000</v>
      </c>
      <c r="F10" s="103"/>
      <c r="G10" s="266">
        <f t="shared" ref="G10:G43" si="0">D10-E10</f>
        <v>0</v>
      </c>
      <c r="H10" s="85"/>
    </row>
    <row r="11" spans="1:9" x14ac:dyDescent="0.3">
      <c r="A11" s="192" t="s">
        <v>969</v>
      </c>
      <c r="B11" s="100" t="s">
        <v>978</v>
      </c>
      <c r="C11" s="234" t="s">
        <v>382</v>
      </c>
      <c r="D11" s="103">
        <v>5000</v>
      </c>
      <c r="E11" s="103">
        <f>1600+2400</f>
        <v>4000</v>
      </c>
      <c r="F11" s="146"/>
      <c r="G11" s="266">
        <f t="shared" si="0"/>
        <v>1000</v>
      </c>
      <c r="H11" s="204" t="s">
        <v>1274</v>
      </c>
    </row>
    <row r="12" spans="1:9" x14ac:dyDescent="0.3">
      <c r="A12" s="192" t="s">
        <v>642</v>
      </c>
      <c r="B12" s="107" t="s">
        <v>695</v>
      </c>
      <c r="C12" s="234" t="s">
        <v>383</v>
      </c>
      <c r="D12" s="103">
        <v>60000</v>
      </c>
      <c r="E12" s="103">
        <f>23355+33630</f>
        <v>56985</v>
      </c>
      <c r="F12" s="146"/>
      <c r="G12" s="266">
        <f t="shared" si="0"/>
        <v>3015</v>
      </c>
      <c r="H12" s="204" t="s">
        <v>1256</v>
      </c>
    </row>
    <row r="13" spans="1:9" x14ac:dyDescent="0.3">
      <c r="A13" s="192"/>
      <c r="B13" s="100"/>
      <c r="C13" s="234" t="s">
        <v>384</v>
      </c>
      <c r="D13" s="103">
        <v>7500</v>
      </c>
      <c r="E13" s="103"/>
      <c r="F13" s="146"/>
      <c r="G13" s="266">
        <f t="shared" si="0"/>
        <v>7500</v>
      </c>
      <c r="H13" s="204"/>
    </row>
    <row r="14" spans="1:9" x14ac:dyDescent="0.3">
      <c r="A14" s="192" t="s">
        <v>834</v>
      </c>
      <c r="B14" s="107" t="s">
        <v>841</v>
      </c>
      <c r="C14" s="234" t="s">
        <v>1076</v>
      </c>
      <c r="D14" s="103">
        <v>84000</v>
      </c>
      <c r="E14" s="103">
        <f>17760+17640+14715+15960+16800</f>
        <v>82875</v>
      </c>
      <c r="F14" s="146"/>
      <c r="G14" s="266">
        <f t="shared" si="0"/>
        <v>1125</v>
      </c>
      <c r="H14" s="204" t="s">
        <v>1077</v>
      </c>
      <c r="I14" s="149" t="s">
        <v>1239</v>
      </c>
    </row>
    <row r="15" spans="1:9" x14ac:dyDescent="0.3">
      <c r="A15" s="192" t="s">
        <v>642</v>
      </c>
      <c r="B15" s="107" t="s">
        <v>696</v>
      </c>
      <c r="C15" s="234" t="s">
        <v>385</v>
      </c>
      <c r="D15" s="103">
        <v>82500</v>
      </c>
      <c r="E15" s="103">
        <f>33000+49500</f>
        <v>82500</v>
      </c>
      <c r="F15" s="146"/>
      <c r="G15" s="266">
        <f t="shared" si="0"/>
        <v>0</v>
      </c>
      <c r="H15" s="204" t="s">
        <v>1400</v>
      </c>
    </row>
    <row r="16" spans="1:9" x14ac:dyDescent="0.3">
      <c r="A16" s="192" t="s">
        <v>988</v>
      </c>
      <c r="B16" s="107" t="s">
        <v>994</v>
      </c>
      <c r="C16" s="235" t="s">
        <v>386</v>
      </c>
      <c r="D16" s="103">
        <v>113500</v>
      </c>
      <c r="E16" s="103">
        <f>45400+68100</f>
        <v>113500</v>
      </c>
      <c r="F16" s="146"/>
      <c r="G16" s="266">
        <f t="shared" si="0"/>
        <v>0</v>
      </c>
      <c r="H16" s="204" t="s">
        <v>1273</v>
      </c>
    </row>
    <row r="17" spans="1:8" x14ac:dyDescent="0.3">
      <c r="A17" s="192" t="s">
        <v>792</v>
      </c>
      <c r="B17" s="100" t="s">
        <v>808</v>
      </c>
      <c r="C17" s="235" t="s">
        <v>159</v>
      </c>
      <c r="D17" s="103">
        <v>42000</v>
      </c>
      <c r="E17" s="103">
        <f>16800+25200</f>
        <v>42000</v>
      </c>
      <c r="F17" s="146"/>
      <c r="G17" s="266">
        <f t="shared" si="0"/>
        <v>0</v>
      </c>
      <c r="H17" s="204" t="s">
        <v>1524</v>
      </c>
    </row>
    <row r="18" spans="1:8" x14ac:dyDescent="0.3">
      <c r="A18" s="192" t="s">
        <v>1030</v>
      </c>
      <c r="B18" s="107" t="s">
        <v>1036</v>
      </c>
      <c r="C18" s="235" t="s">
        <v>387</v>
      </c>
      <c r="D18" s="103">
        <v>46500</v>
      </c>
      <c r="E18" s="103">
        <v>18600</v>
      </c>
      <c r="F18" s="146"/>
      <c r="G18" s="266">
        <f t="shared" si="0"/>
        <v>27900</v>
      </c>
      <c r="H18" s="204"/>
    </row>
    <row r="19" spans="1:8" x14ac:dyDescent="0.3">
      <c r="A19" s="192" t="s">
        <v>956</v>
      </c>
      <c r="B19" s="107" t="s">
        <v>957</v>
      </c>
      <c r="C19" s="235" t="s">
        <v>101</v>
      </c>
      <c r="D19" s="103">
        <v>28500</v>
      </c>
      <c r="E19" s="103">
        <f>11400+17100</f>
        <v>28500</v>
      </c>
      <c r="F19" s="146"/>
      <c r="G19" s="266">
        <f t="shared" si="0"/>
        <v>0</v>
      </c>
      <c r="H19" s="204" t="s">
        <v>1241</v>
      </c>
    </row>
    <row r="20" spans="1:8" x14ac:dyDescent="0.3">
      <c r="A20" s="192" t="s">
        <v>667</v>
      </c>
      <c r="B20" s="107" t="s">
        <v>669</v>
      </c>
      <c r="C20" s="235" t="s">
        <v>388</v>
      </c>
      <c r="D20" s="103">
        <v>22500</v>
      </c>
      <c r="E20" s="103">
        <f>9000+13500</f>
        <v>22500</v>
      </c>
      <c r="F20" s="146"/>
      <c r="G20" s="266">
        <f t="shared" si="0"/>
        <v>0</v>
      </c>
      <c r="H20" s="204" t="s">
        <v>1243</v>
      </c>
    </row>
    <row r="21" spans="1:8" x14ac:dyDescent="0.3">
      <c r="A21" s="192" t="s">
        <v>642</v>
      </c>
      <c r="B21" s="107" t="s">
        <v>692</v>
      </c>
      <c r="C21" s="235" t="s">
        <v>389</v>
      </c>
      <c r="D21" s="103">
        <v>7000</v>
      </c>
      <c r="E21" s="103">
        <f>3200+3800</f>
        <v>7000</v>
      </c>
      <c r="F21" s="146"/>
      <c r="G21" s="266">
        <f t="shared" si="0"/>
        <v>0</v>
      </c>
      <c r="H21" s="204" t="s">
        <v>1490</v>
      </c>
    </row>
    <row r="22" spans="1:8" x14ac:dyDescent="0.3">
      <c r="A22" s="192" t="s">
        <v>818</v>
      </c>
      <c r="B22" s="107" t="s">
        <v>829</v>
      </c>
      <c r="C22" s="235" t="s">
        <v>390</v>
      </c>
      <c r="D22" s="103">
        <v>45000</v>
      </c>
      <c r="E22" s="103">
        <v>18000</v>
      </c>
      <c r="F22" s="146"/>
      <c r="G22" s="266">
        <f t="shared" si="0"/>
        <v>27000</v>
      </c>
      <c r="H22" s="204"/>
    </row>
    <row r="23" spans="1:8" x14ac:dyDescent="0.3">
      <c r="A23" s="192" t="s">
        <v>638</v>
      </c>
      <c r="B23" s="107" t="s">
        <v>686</v>
      </c>
      <c r="C23" s="235" t="s">
        <v>391</v>
      </c>
      <c r="D23" s="103">
        <v>48000</v>
      </c>
      <c r="E23" s="103">
        <f>18960+28620</f>
        <v>47580</v>
      </c>
      <c r="F23" s="146"/>
      <c r="G23" s="266">
        <f t="shared" si="0"/>
        <v>420</v>
      </c>
      <c r="H23" s="204" t="s">
        <v>1234</v>
      </c>
    </row>
    <row r="24" spans="1:8" x14ac:dyDescent="0.3">
      <c r="A24" s="192" t="s">
        <v>638</v>
      </c>
      <c r="B24" s="107" t="s">
        <v>684</v>
      </c>
      <c r="C24" s="235" t="s">
        <v>107</v>
      </c>
      <c r="D24" s="103">
        <v>37500</v>
      </c>
      <c r="E24" s="103">
        <f>15000+22500</f>
        <v>37500</v>
      </c>
      <c r="F24" s="146"/>
      <c r="G24" s="266">
        <f t="shared" si="0"/>
        <v>0</v>
      </c>
      <c r="H24" s="204" t="s">
        <v>1232</v>
      </c>
    </row>
    <row r="25" spans="1:8" x14ac:dyDescent="0.3">
      <c r="A25" s="192" t="s">
        <v>988</v>
      </c>
      <c r="B25" s="107" t="s">
        <v>999</v>
      </c>
      <c r="C25" s="235" t="s">
        <v>158</v>
      </c>
      <c r="D25" s="103">
        <v>15000</v>
      </c>
      <c r="E25" s="103">
        <f>6000+9000</f>
        <v>15000</v>
      </c>
      <c r="F25" s="146"/>
      <c r="G25" s="266">
        <f t="shared" si="0"/>
        <v>0</v>
      </c>
      <c r="H25" s="204" t="s">
        <v>1255</v>
      </c>
    </row>
    <row r="26" spans="1:8" x14ac:dyDescent="0.3">
      <c r="A26" s="192" t="s">
        <v>741</v>
      </c>
      <c r="B26" s="107" t="s">
        <v>751</v>
      </c>
      <c r="C26" s="235" t="s">
        <v>392</v>
      </c>
      <c r="D26" s="103">
        <v>18000</v>
      </c>
      <c r="E26" s="103">
        <f>7200+10800</f>
        <v>18000</v>
      </c>
      <c r="F26" s="146"/>
      <c r="G26" s="266">
        <f t="shared" si="0"/>
        <v>0</v>
      </c>
      <c r="H26" s="204" t="s">
        <v>1242</v>
      </c>
    </row>
    <row r="27" spans="1:8" x14ac:dyDescent="0.3">
      <c r="A27" s="192" t="s">
        <v>1180</v>
      </c>
      <c r="B27" s="107" t="s">
        <v>1244</v>
      </c>
      <c r="C27" s="235" t="s">
        <v>393</v>
      </c>
      <c r="D27" s="103">
        <v>42000</v>
      </c>
      <c r="E27" s="103">
        <v>42000</v>
      </c>
      <c r="F27" s="146"/>
      <c r="G27" s="266">
        <f t="shared" si="0"/>
        <v>0</v>
      </c>
      <c r="H27" s="204"/>
    </row>
    <row r="28" spans="1:8" x14ac:dyDescent="0.3">
      <c r="A28" s="192" t="s">
        <v>792</v>
      </c>
      <c r="B28" s="100" t="s">
        <v>807</v>
      </c>
      <c r="C28" s="235" t="s">
        <v>394</v>
      </c>
      <c r="D28" s="103">
        <v>66000</v>
      </c>
      <c r="E28" s="103">
        <f>27060+37170</f>
        <v>64230</v>
      </c>
      <c r="F28" s="146"/>
      <c r="G28" s="266">
        <f t="shared" si="0"/>
        <v>1770</v>
      </c>
      <c r="H28" s="204" t="s">
        <v>1245</v>
      </c>
    </row>
    <row r="29" spans="1:8" x14ac:dyDescent="0.3">
      <c r="A29" s="192" t="s">
        <v>716</v>
      </c>
      <c r="B29" s="107" t="s">
        <v>717</v>
      </c>
      <c r="C29" s="235" t="s">
        <v>395</v>
      </c>
      <c r="D29" s="103">
        <v>48000</v>
      </c>
      <c r="E29" s="103">
        <f>19125+28770</f>
        <v>47895</v>
      </c>
      <c r="F29" s="146"/>
      <c r="G29" s="266">
        <f t="shared" si="0"/>
        <v>105</v>
      </c>
      <c r="H29" s="204" t="s">
        <v>1235</v>
      </c>
    </row>
    <row r="30" spans="1:8" x14ac:dyDescent="0.3">
      <c r="A30" s="192" t="s">
        <v>642</v>
      </c>
      <c r="B30" s="107" t="s">
        <v>693</v>
      </c>
      <c r="C30" s="235" t="s">
        <v>160</v>
      </c>
      <c r="D30" s="103">
        <v>15000</v>
      </c>
      <c r="E30" s="103">
        <f>6450+8550</f>
        <v>15000</v>
      </c>
      <c r="F30" s="146"/>
      <c r="G30" s="266">
        <f t="shared" si="0"/>
        <v>0</v>
      </c>
      <c r="H30" s="204" t="s">
        <v>1237</v>
      </c>
    </row>
    <row r="31" spans="1:8" x14ac:dyDescent="0.3">
      <c r="A31" s="192" t="s">
        <v>642</v>
      </c>
      <c r="B31" s="107" t="s">
        <v>694</v>
      </c>
      <c r="C31" s="235" t="s">
        <v>396</v>
      </c>
      <c r="D31" s="103">
        <v>15000</v>
      </c>
      <c r="E31" s="103">
        <f>6000+9000</f>
        <v>15000</v>
      </c>
      <c r="F31" s="146"/>
      <c r="G31" s="266">
        <f t="shared" si="0"/>
        <v>0</v>
      </c>
      <c r="H31" s="204" t="s">
        <v>1233</v>
      </c>
    </row>
    <row r="32" spans="1:8" x14ac:dyDescent="0.3">
      <c r="A32" s="192" t="s">
        <v>834</v>
      </c>
      <c r="B32" s="107" t="s">
        <v>846</v>
      </c>
      <c r="C32" s="235" t="s">
        <v>41</v>
      </c>
      <c r="D32" s="108">
        <v>18000</v>
      </c>
      <c r="E32" s="108">
        <f>8460+9540</f>
        <v>18000</v>
      </c>
      <c r="F32" s="146"/>
      <c r="G32" s="266">
        <f t="shared" si="0"/>
        <v>0</v>
      </c>
      <c r="H32" s="204" t="s">
        <v>1489</v>
      </c>
    </row>
    <row r="33" spans="1:8" x14ac:dyDescent="0.3">
      <c r="A33" s="192" t="s">
        <v>741</v>
      </c>
      <c r="B33" s="107" t="s">
        <v>752</v>
      </c>
      <c r="C33" s="235" t="s">
        <v>103</v>
      </c>
      <c r="D33" s="108">
        <v>49500</v>
      </c>
      <c r="E33" s="108">
        <f>19800+29700</f>
        <v>49500</v>
      </c>
      <c r="F33" s="146"/>
      <c r="G33" s="266">
        <f t="shared" si="0"/>
        <v>0</v>
      </c>
      <c r="H33" s="204" t="s">
        <v>1246</v>
      </c>
    </row>
    <row r="34" spans="1:8" x14ac:dyDescent="0.3">
      <c r="A34" s="192" t="s">
        <v>988</v>
      </c>
      <c r="B34" s="107" t="s">
        <v>998</v>
      </c>
      <c r="C34" s="235" t="s">
        <v>397</v>
      </c>
      <c r="D34" s="108">
        <v>83000</v>
      </c>
      <c r="E34" s="108">
        <f>28315+39100</f>
        <v>67415</v>
      </c>
      <c r="F34" s="146"/>
      <c r="G34" s="102">
        <f t="shared" si="0"/>
        <v>15585</v>
      </c>
      <c r="H34" s="204" t="s">
        <v>1226</v>
      </c>
    </row>
    <row r="35" spans="1:8" x14ac:dyDescent="0.3">
      <c r="A35" s="192" t="s">
        <v>818</v>
      </c>
      <c r="B35" s="107" t="s">
        <v>827</v>
      </c>
      <c r="C35" s="235" t="s">
        <v>398</v>
      </c>
      <c r="D35" s="108">
        <v>170000</v>
      </c>
      <c r="E35" s="108">
        <f>66800+33100+66515</f>
        <v>166415</v>
      </c>
      <c r="F35" s="146"/>
      <c r="G35" s="102">
        <f t="shared" si="0"/>
        <v>3585</v>
      </c>
      <c r="H35" s="204" t="s">
        <v>1250</v>
      </c>
    </row>
    <row r="36" spans="1:8" x14ac:dyDescent="0.3">
      <c r="A36" s="192" t="s">
        <v>667</v>
      </c>
      <c r="B36" s="107" t="s">
        <v>668</v>
      </c>
      <c r="C36" s="235" t="s">
        <v>399</v>
      </c>
      <c r="D36" s="108">
        <v>25500</v>
      </c>
      <c r="E36" s="108">
        <f>10200+15300</f>
        <v>25500</v>
      </c>
      <c r="F36" s="146"/>
      <c r="G36" s="266">
        <f t="shared" si="0"/>
        <v>0</v>
      </c>
      <c r="H36" s="204" t="s">
        <v>1238</v>
      </c>
    </row>
    <row r="37" spans="1:8" x14ac:dyDescent="0.3">
      <c r="A37" s="192" t="s">
        <v>642</v>
      </c>
      <c r="B37" s="107" t="s">
        <v>714</v>
      </c>
      <c r="C37" s="235" t="s">
        <v>400</v>
      </c>
      <c r="D37" s="108">
        <v>12000</v>
      </c>
      <c r="E37" s="108">
        <f>7320+4680</f>
        <v>12000</v>
      </c>
      <c r="F37" s="146"/>
      <c r="G37" s="266">
        <f t="shared" si="0"/>
        <v>0</v>
      </c>
      <c r="H37" s="204" t="s">
        <v>1246</v>
      </c>
    </row>
    <row r="38" spans="1:8" x14ac:dyDescent="0.3">
      <c r="A38" s="192" t="s">
        <v>954</v>
      </c>
      <c r="B38" s="107" t="s">
        <v>955</v>
      </c>
      <c r="C38" s="235" t="s">
        <v>401</v>
      </c>
      <c r="D38" s="108">
        <v>75000</v>
      </c>
      <c r="E38" s="108">
        <f>30000+45000</f>
        <v>75000</v>
      </c>
      <c r="F38" s="146"/>
      <c r="G38" s="266">
        <f t="shared" si="0"/>
        <v>0</v>
      </c>
      <c r="H38" s="204" t="s">
        <v>1238</v>
      </c>
    </row>
    <row r="39" spans="1:8" x14ac:dyDescent="0.3">
      <c r="A39" s="192" t="s">
        <v>1251</v>
      </c>
      <c r="B39" s="107" t="s">
        <v>1257</v>
      </c>
      <c r="C39" s="235" t="s">
        <v>402</v>
      </c>
      <c r="D39" s="108">
        <v>93000</v>
      </c>
      <c r="E39" s="108">
        <f>55800+37200</f>
        <v>93000</v>
      </c>
      <c r="F39" s="146"/>
      <c r="G39" s="102">
        <f t="shared" si="0"/>
        <v>0</v>
      </c>
      <c r="H39" s="204" t="s">
        <v>1512</v>
      </c>
    </row>
    <row r="40" spans="1:8" x14ac:dyDescent="0.3">
      <c r="A40" s="192" t="s">
        <v>1016</v>
      </c>
      <c r="B40" s="107" t="s">
        <v>1037</v>
      </c>
      <c r="C40" s="235" t="s">
        <v>40</v>
      </c>
      <c r="D40" s="108">
        <v>203000</v>
      </c>
      <c r="E40" s="108">
        <f>79130+58115+54870</f>
        <v>192115</v>
      </c>
      <c r="F40" s="146"/>
      <c r="G40" s="102">
        <f t="shared" si="0"/>
        <v>10885</v>
      </c>
      <c r="H40" s="204" t="s">
        <v>1487</v>
      </c>
    </row>
    <row r="41" spans="1:8" x14ac:dyDescent="0.3">
      <c r="A41" s="192" t="s">
        <v>741</v>
      </c>
      <c r="B41" s="107" t="s">
        <v>763</v>
      </c>
      <c r="C41" s="235" t="s">
        <v>403</v>
      </c>
      <c r="D41" s="108">
        <v>66000</v>
      </c>
      <c r="E41" s="108">
        <f>26000</f>
        <v>26000</v>
      </c>
      <c r="F41" s="146"/>
      <c r="G41" s="102">
        <f t="shared" si="0"/>
        <v>40000</v>
      </c>
      <c r="H41" s="204"/>
    </row>
    <row r="42" spans="1:8" x14ac:dyDescent="0.3">
      <c r="A42" s="192" t="s">
        <v>638</v>
      </c>
      <c r="B42" s="107" t="s">
        <v>685</v>
      </c>
      <c r="C42" s="235" t="s">
        <v>404</v>
      </c>
      <c r="D42" s="108">
        <v>33000</v>
      </c>
      <c r="E42" s="108">
        <f>13200+19800</f>
        <v>33000</v>
      </c>
      <c r="F42" s="146"/>
      <c r="G42" s="102">
        <f t="shared" si="0"/>
        <v>0</v>
      </c>
      <c r="H42" s="204" t="s">
        <v>1399</v>
      </c>
    </row>
    <row r="43" spans="1:8" x14ac:dyDescent="0.3">
      <c r="A43" s="192" t="s">
        <v>1433</v>
      </c>
      <c r="B43" s="100" t="s">
        <v>1432</v>
      </c>
      <c r="C43" s="234" t="s">
        <v>1431</v>
      </c>
      <c r="D43" s="103">
        <v>1445000</v>
      </c>
      <c r="E43" s="108"/>
      <c r="F43" s="101"/>
      <c r="G43" s="102">
        <f t="shared" si="0"/>
        <v>1445000</v>
      </c>
      <c r="H43" s="204"/>
    </row>
    <row r="44" spans="1:8" x14ac:dyDescent="0.3">
      <c r="A44" s="192"/>
      <c r="B44" s="100"/>
      <c r="C44" s="235"/>
      <c r="D44" s="103"/>
      <c r="E44" s="108"/>
      <c r="F44" s="101"/>
      <c r="G44" s="102"/>
      <c r="H44" s="204"/>
    </row>
    <row r="45" spans="1:8" x14ac:dyDescent="0.3">
      <c r="A45" s="192"/>
      <c r="B45" s="100"/>
      <c r="C45" s="235"/>
      <c r="D45" s="103"/>
      <c r="E45" s="108"/>
      <c r="F45" s="101"/>
      <c r="G45" s="102"/>
      <c r="H45" s="204"/>
    </row>
    <row r="46" spans="1:8" x14ac:dyDescent="0.3">
      <c r="A46" s="192" t="s">
        <v>359</v>
      </c>
      <c r="B46" s="100" t="s">
        <v>378</v>
      </c>
      <c r="C46" s="235" t="s">
        <v>405</v>
      </c>
      <c r="D46" s="108">
        <v>100000</v>
      </c>
      <c r="E46" s="108"/>
      <c r="F46" s="101"/>
      <c r="G46" s="102">
        <f>D46</f>
        <v>100000</v>
      </c>
      <c r="H46" s="204"/>
    </row>
    <row r="47" spans="1:8" x14ac:dyDescent="0.3">
      <c r="A47" s="192" t="s">
        <v>860</v>
      </c>
      <c r="B47" s="107" t="s">
        <v>880</v>
      </c>
      <c r="C47" s="235" t="s">
        <v>881</v>
      </c>
      <c r="D47" s="108"/>
      <c r="E47" s="108">
        <v>2440</v>
      </c>
      <c r="F47" s="101"/>
      <c r="G47" s="102">
        <f t="shared" ref="G47:G57" si="1">G46-E47</f>
        <v>97560</v>
      </c>
      <c r="H47" s="204"/>
    </row>
    <row r="48" spans="1:8" x14ac:dyDescent="0.3">
      <c r="A48" s="192"/>
      <c r="B48" s="107" t="s">
        <v>914</v>
      </c>
      <c r="C48" s="235" t="s">
        <v>913</v>
      </c>
      <c r="D48" s="108"/>
      <c r="E48" s="108">
        <v>4110</v>
      </c>
      <c r="F48" s="101"/>
      <c r="G48" s="102">
        <f t="shared" si="1"/>
        <v>93450</v>
      </c>
      <c r="H48" s="204"/>
    </row>
    <row r="49" spans="1:8" x14ac:dyDescent="0.3">
      <c r="A49" s="192"/>
      <c r="B49" s="107" t="s">
        <v>915</v>
      </c>
      <c r="C49" s="235" t="s">
        <v>881</v>
      </c>
      <c r="D49" s="108"/>
      <c r="E49" s="108">
        <v>6710</v>
      </c>
      <c r="F49" s="101"/>
      <c r="G49" s="102">
        <f t="shared" si="1"/>
        <v>86740</v>
      </c>
      <c r="H49" s="204"/>
    </row>
    <row r="50" spans="1:8" x14ac:dyDescent="0.3">
      <c r="A50" s="192" t="s">
        <v>1016</v>
      </c>
      <c r="B50" s="107" t="s">
        <v>1038</v>
      </c>
      <c r="C50" s="235" t="s">
        <v>762</v>
      </c>
      <c r="D50" s="108"/>
      <c r="E50" s="108">
        <v>8334</v>
      </c>
      <c r="F50" s="101"/>
      <c r="G50" s="102">
        <f t="shared" si="1"/>
        <v>78406</v>
      </c>
      <c r="H50" s="204"/>
    </row>
    <row r="51" spans="1:8" x14ac:dyDescent="0.3">
      <c r="A51" s="192" t="s">
        <v>1066</v>
      </c>
      <c r="B51" s="107" t="s">
        <v>1078</v>
      </c>
      <c r="C51" s="235" t="s">
        <v>881</v>
      </c>
      <c r="D51" s="108"/>
      <c r="E51" s="108">
        <v>6405</v>
      </c>
      <c r="F51" s="101"/>
      <c r="G51" s="102">
        <f t="shared" si="1"/>
        <v>72001</v>
      </c>
      <c r="H51" s="204"/>
    </row>
    <row r="52" spans="1:8" x14ac:dyDescent="0.3">
      <c r="A52" s="192" t="s">
        <v>1107</v>
      </c>
      <c r="B52" s="107" t="s">
        <v>1112</v>
      </c>
      <c r="C52" s="235" t="s">
        <v>762</v>
      </c>
      <c r="D52" s="108"/>
      <c r="E52" s="108">
        <v>4200</v>
      </c>
      <c r="F52" s="101"/>
      <c r="G52" s="102">
        <f t="shared" si="1"/>
        <v>67801</v>
      </c>
      <c r="H52" s="204"/>
    </row>
    <row r="53" spans="1:8" x14ac:dyDescent="0.3">
      <c r="A53" s="192" t="s">
        <v>1130</v>
      </c>
      <c r="B53" s="107" t="s">
        <v>1138</v>
      </c>
      <c r="C53" s="235" t="s">
        <v>762</v>
      </c>
      <c r="D53" s="108"/>
      <c r="E53" s="108">
        <v>10092</v>
      </c>
      <c r="F53" s="101"/>
      <c r="G53" s="102">
        <f t="shared" si="1"/>
        <v>57709</v>
      </c>
      <c r="H53" s="204"/>
    </row>
    <row r="54" spans="1:8" x14ac:dyDescent="0.3">
      <c r="A54" s="192" t="s">
        <v>1169</v>
      </c>
      <c r="B54" s="107" t="s">
        <v>1225</v>
      </c>
      <c r="C54" s="235" t="s">
        <v>762</v>
      </c>
      <c r="D54" s="108"/>
      <c r="E54" s="108">
        <v>3300</v>
      </c>
      <c r="F54" s="101"/>
      <c r="G54" s="102">
        <f t="shared" si="1"/>
        <v>54409</v>
      </c>
      <c r="H54" s="204"/>
    </row>
    <row r="55" spans="1:8" x14ac:dyDescent="0.3">
      <c r="A55" s="192" t="s">
        <v>1343</v>
      </c>
      <c r="B55" s="107" t="s">
        <v>1387</v>
      </c>
      <c r="C55" s="235" t="s">
        <v>762</v>
      </c>
      <c r="D55" s="108"/>
      <c r="E55" s="108">
        <v>10566</v>
      </c>
      <c r="F55" s="101"/>
      <c r="G55" s="102">
        <f t="shared" si="1"/>
        <v>43843</v>
      </c>
      <c r="H55" s="204"/>
    </row>
    <row r="56" spans="1:8" x14ac:dyDescent="0.3">
      <c r="A56" s="192" t="s">
        <v>1351</v>
      </c>
      <c r="B56" s="107" t="s">
        <v>1394</v>
      </c>
      <c r="C56" s="235" t="s">
        <v>1398</v>
      </c>
      <c r="D56" s="108"/>
      <c r="E56" s="108">
        <v>6405</v>
      </c>
      <c r="F56" s="101"/>
      <c r="G56" s="102">
        <f t="shared" si="1"/>
        <v>37438</v>
      </c>
      <c r="H56" s="204"/>
    </row>
    <row r="57" spans="1:8" x14ac:dyDescent="0.3">
      <c r="A57" s="192" t="s">
        <v>1469</v>
      </c>
      <c r="B57" s="107" t="s">
        <v>1488</v>
      </c>
      <c r="C57" s="235" t="s">
        <v>913</v>
      </c>
      <c r="D57" s="108"/>
      <c r="E57" s="108">
        <v>3500</v>
      </c>
      <c r="F57" s="101"/>
      <c r="G57" s="102">
        <f t="shared" si="1"/>
        <v>33938</v>
      </c>
      <c r="H57" s="204"/>
    </row>
    <row r="58" spans="1:8" x14ac:dyDescent="0.3">
      <c r="A58" s="192"/>
      <c r="B58" s="107"/>
      <c r="C58" s="235"/>
      <c r="D58" s="108"/>
      <c r="E58" s="108"/>
      <c r="F58" s="101"/>
      <c r="G58" s="102"/>
      <c r="H58" s="204"/>
    </row>
    <row r="59" spans="1:8" x14ac:dyDescent="0.3">
      <c r="A59" s="192"/>
      <c r="B59" s="107"/>
      <c r="C59" s="235" t="s">
        <v>406</v>
      </c>
      <c r="D59" s="108">
        <v>100000</v>
      </c>
      <c r="E59" s="108"/>
      <c r="F59" s="146"/>
      <c r="G59" s="147">
        <f>D59</f>
        <v>100000</v>
      </c>
      <c r="H59" s="204"/>
    </row>
    <row r="60" spans="1:8" x14ac:dyDescent="0.3">
      <c r="A60" s="192" t="s">
        <v>741</v>
      </c>
      <c r="B60" s="107" t="s">
        <v>761</v>
      </c>
      <c r="C60" s="235" t="s">
        <v>762</v>
      </c>
      <c r="D60" s="108"/>
      <c r="E60" s="108">
        <v>1400</v>
      </c>
      <c r="F60" s="146"/>
      <c r="G60" s="147">
        <f>G59-E60</f>
        <v>98600</v>
      </c>
      <c r="H60" s="204"/>
    </row>
    <row r="61" spans="1:8" x14ac:dyDescent="0.3">
      <c r="A61" s="192" t="s">
        <v>907</v>
      </c>
      <c r="B61" s="107" t="s">
        <v>909</v>
      </c>
      <c r="C61" s="235" t="s">
        <v>762</v>
      </c>
      <c r="D61" s="108"/>
      <c r="E61" s="108">
        <v>4200</v>
      </c>
      <c r="F61" s="146"/>
      <c r="G61" s="147">
        <f>G60-E61</f>
        <v>94400</v>
      </c>
      <c r="H61" s="204"/>
    </row>
    <row r="62" spans="1:8" x14ac:dyDescent="0.3">
      <c r="A62" s="192"/>
      <c r="B62" s="107" t="s">
        <v>911</v>
      </c>
      <c r="C62" s="235" t="s">
        <v>881</v>
      </c>
      <c r="D62" s="108"/>
      <c r="E62" s="108">
        <v>9000</v>
      </c>
      <c r="F62" s="146"/>
      <c r="G62" s="147">
        <f>G61-E62</f>
        <v>85400</v>
      </c>
      <c r="H62" s="204"/>
    </row>
    <row r="63" spans="1:8" x14ac:dyDescent="0.3">
      <c r="A63" s="192"/>
      <c r="B63" s="107" t="s">
        <v>912</v>
      </c>
      <c r="C63" s="235" t="s">
        <v>881</v>
      </c>
      <c r="D63" s="108"/>
      <c r="E63" s="108">
        <v>1800</v>
      </c>
      <c r="F63" s="146"/>
      <c r="G63" s="147">
        <f>G62-E63</f>
        <v>83600</v>
      </c>
      <c r="H63" s="204"/>
    </row>
    <row r="64" spans="1:8" x14ac:dyDescent="0.3">
      <c r="A64" s="192"/>
      <c r="B64" s="107" t="s">
        <v>1241</v>
      </c>
      <c r="C64" s="235" t="s">
        <v>881</v>
      </c>
      <c r="D64" s="108"/>
      <c r="E64" s="108">
        <v>18000</v>
      </c>
      <c r="F64" s="146"/>
      <c r="G64" s="147">
        <f>G63-E64</f>
        <v>65600</v>
      </c>
      <c r="H64" s="204"/>
    </row>
    <row r="65" spans="1:10" x14ac:dyDescent="0.3">
      <c r="A65" s="192"/>
      <c r="B65" s="107"/>
      <c r="C65" s="235"/>
      <c r="D65" s="108"/>
      <c r="E65" s="108"/>
      <c r="F65" s="146"/>
      <c r="G65" s="147"/>
      <c r="H65" s="204"/>
    </row>
    <row r="66" spans="1:10" x14ac:dyDescent="0.3">
      <c r="A66" s="192"/>
      <c r="B66" s="107"/>
      <c r="C66" s="235" t="s">
        <v>407</v>
      </c>
      <c r="D66" s="108">
        <v>100000</v>
      </c>
      <c r="E66" s="190"/>
      <c r="F66" s="146"/>
      <c r="G66" s="147">
        <f>D66</f>
        <v>100000</v>
      </c>
      <c r="H66" s="204"/>
    </row>
    <row r="67" spans="1:10" x14ac:dyDescent="0.3">
      <c r="A67" s="192" t="s">
        <v>860</v>
      </c>
      <c r="B67" s="107" t="s">
        <v>882</v>
      </c>
      <c r="C67" s="235" t="s">
        <v>881</v>
      </c>
      <c r="D67" s="108"/>
      <c r="E67" s="108">
        <v>2450</v>
      </c>
      <c r="F67" s="146"/>
      <c r="G67" s="147">
        <f>G66-E67</f>
        <v>97550</v>
      </c>
      <c r="H67" s="204"/>
    </row>
    <row r="68" spans="1:10" x14ac:dyDescent="0.3">
      <c r="A68" s="192" t="s">
        <v>907</v>
      </c>
      <c r="B68" s="107" t="s">
        <v>908</v>
      </c>
      <c r="C68" s="235" t="s">
        <v>881</v>
      </c>
      <c r="D68" s="108"/>
      <c r="E68" s="108">
        <v>7350</v>
      </c>
      <c r="F68" s="146"/>
      <c r="G68" s="147">
        <f>G67-E68</f>
        <v>90200</v>
      </c>
      <c r="H68" s="204"/>
    </row>
    <row r="69" spans="1:10" x14ac:dyDescent="0.3">
      <c r="A69" s="192" t="s">
        <v>1180</v>
      </c>
      <c r="B69" s="107" t="s">
        <v>1240</v>
      </c>
      <c r="C69" s="235" t="s">
        <v>881</v>
      </c>
      <c r="D69" s="108"/>
      <c r="E69" s="108">
        <v>7350</v>
      </c>
      <c r="F69" s="146"/>
      <c r="G69" s="147">
        <f>G68-E69</f>
        <v>82850</v>
      </c>
      <c r="H69" s="204"/>
    </row>
    <row r="70" spans="1:10" x14ac:dyDescent="0.3">
      <c r="A70" s="192" t="s">
        <v>1343</v>
      </c>
      <c r="B70" s="107" t="s">
        <v>1388</v>
      </c>
      <c r="C70" s="235" t="s">
        <v>762</v>
      </c>
      <c r="D70" s="108"/>
      <c r="E70" s="108">
        <v>22400</v>
      </c>
      <c r="F70" s="146"/>
      <c r="G70" s="147">
        <f>G69-E70</f>
        <v>60450</v>
      </c>
      <c r="H70" s="204"/>
    </row>
    <row r="71" spans="1:10" x14ac:dyDescent="0.3">
      <c r="A71" s="192"/>
      <c r="B71" s="107"/>
      <c r="C71" s="235"/>
      <c r="D71" s="108"/>
      <c r="E71" s="108"/>
      <c r="F71" s="146"/>
      <c r="G71" s="147"/>
      <c r="H71" s="204"/>
    </row>
    <row r="72" spans="1:10" x14ac:dyDescent="0.3">
      <c r="A72" s="192"/>
      <c r="B72" s="107"/>
      <c r="C72" s="235"/>
      <c r="D72" s="146"/>
      <c r="E72" s="101"/>
      <c r="F72" s="101"/>
      <c r="G72" s="147"/>
      <c r="H72" s="162"/>
    </row>
    <row r="73" spans="1:10" ht="19.5" thickBot="1" x14ac:dyDescent="0.35">
      <c r="A73" s="118"/>
      <c r="B73" s="155"/>
      <c r="C73" s="236" t="s">
        <v>102</v>
      </c>
      <c r="D73" s="182">
        <f>SUM(D9:D72)</f>
        <v>3462000</v>
      </c>
      <c r="E73" s="182">
        <f>SUM(E7:E72)</f>
        <v>1717122</v>
      </c>
      <c r="F73" s="182">
        <f>SUM(F7:F72)</f>
        <v>0</v>
      </c>
      <c r="G73" s="173">
        <f>D73-E73-F73</f>
        <v>1744878</v>
      </c>
      <c r="H73" s="104"/>
    </row>
    <row r="74" spans="1:10" ht="19.5" thickTop="1" x14ac:dyDescent="0.3">
      <c r="D74" s="149"/>
      <c r="F74" s="189"/>
      <c r="G74" s="214"/>
    </row>
    <row r="75" spans="1:10" x14ac:dyDescent="0.3">
      <c r="D75" s="149"/>
      <c r="E75" s="144"/>
      <c r="F75" s="176"/>
      <c r="G75" s="144"/>
    </row>
    <row r="76" spans="1:10" x14ac:dyDescent="0.3">
      <c r="D76" s="149"/>
      <c r="E76" s="144"/>
      <c r="G76" s="144"/>
    </row>
    <row r="77" spans="1:10" x14ac:dyDescent="0.3">
      <c r="C77" s="51"/>
      <c r="E77" s="144"/>
      <c r="G77" s="176"/>
    </row>
    <row r="78" spans="1:10" x14ac:dyDescent="0.3">
      <c r="C78" s="51"/>
      <c r="E78" s="176"/>
      <c r="G78" s="176"/>
      <c r="J78" s="176"/>
    </row>
    <row r="79" spans="1:10" x14ac:dyDescent="0.3">
      <c r="E79" s="151"/>
      <c r="F79" s="144"/>
      <c r="G79" s="176"/>
      <c r="J79" s="176"/>
    </row>
    <row r="80" spans="1:10" x14ac:dyDescent="0.3">
      <c r="B80" s="150"/>
      <c r="C80" s="67"/>
      <c r="D80" s="183"/>
      <c r="E80" s="184"/>
      <c r="G80" s="185"/>
      <c r="J80" s="185"/>
    </row>
    <row r="81" spans="2:10" x14ac:dyDescent="0.3">
      <c r="B81" s="150"/>
      <c r="C81" s="5"/>
      <c r="D81" s="152"/>
      <c r="E81" s="151"/>
    </row>
    <row r="82" spans="2:10" x14ac:dyDescent="0.3">
      <c r="B82" s="150"/>
      <c r="C82" s="5"/>
      <c r="D82" s="152"/>
      <c r="E82" s="151"/>
      <c r="G82" s="144"/>
      <c r="J82" s="144"/>
    </row>
    <row r="83" spans="2:10" x14ac:dyDescent="0.3">
      <c r="B83" s="150"/>
      <c r="C83" s="5"/>
      <c r="D83" s="152"/>
      <c r="E83" s="151"/>
      <c r="G83" s="144"/>
    </row>
    <row r="84" spans="2:10" x14ac:dyDescent="0.3">
      <c r="B84" s="150"/>
      <c r="C84" s="5"/>
      <c r="D84" s="186"/>
      <c r="E84" s="158"/>
    </row>
    <row r="85" spans="2:10" x14ac:dyDescent="0.3">
      <c r="B85" s="150"/>
      <c r="C85" s="5"/>
      <c r="D85" s="150"/>
      <c r="E85" s="151"/>
    </row>
    <row r="86" spans="2:10" x14ac:dyDescent="0.3">
      <c r="B86" s="150"/>
      <c r="C86" s="5"/>
      <c r="D86" s="150"/>
      <c r="E86" s="158"/>
    </row>
  </sheetData>
  <mergeCells count="2">
    <mergeCell ref="A2:H2"/>
    <mergeCell ref="A3:H3"/>
  </mergeCells>
  <pageMargins left="0.27" right="0.15" top="0.15748031496062992" bottom="0.15748031496062992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D1" workbookViewId="0">
      <selection activeCell="M145" sqref="M145"/>
    </sheetView>
  </sheetViews>
  <sheetFormatPr defaultRowHeight="17.25" x14ac:dyDescent="0.3"/>
  <cols>
    <col min="1" max="1" width="9" style="88" customWidth="1"/>
    <col min="2" max="2" width="8.85546875" style="88" customWidth="1"/>
    <col min="3" max="3" width="26.85546875" style="88" customWidth="1"/>
    <col min="4" max="4" width="12.42578125" style="88" bestFit="1" customWidth="1"/>
    <col min="5" max="5" width="11.5703125" style="88" customWidth="1"/>
    <col min="6" max="6" width="10" style="88" bestFit="1" customWidth="1"/>
    <col min="7" max="7" width="11.28515625" style="88" customWidth="1"/>
    <col min="8" max="16384" width="9.140625" style="88"/>
  </cols>
  <sheetData>
    <row r="1" spans="1:8" ht="18.75" x14ac:dyDescent="0.3">
      <c r="A1" s="87"/>
      <c r="B1" s="87"/>
      <c r="C1" s="230" t="s">
        <v>167</v>
      </c>
      <c r="D1" s="87"/>
      <c r="E1" s="87"/>
      <c r="F1" s="87"/>
      <c r="G1" s="87" t="s">
        <v>111</v>
      </c>
      <c r="H1" s="87"/>
    </row>
    <row r="2" spans="1:8" x14ac:dyDescent="0.3">
      <c r="A2" s="87"/>
      <c r="B2" s="87" t="s">
        <v>1555</v>
      </c>
      <c r="C2" s="87"/>
      <c r="D2" s="87"/>
      <c r="E2" s="87"/>
      <c r="F2" s="87"/>
      <c r="G2" s="87"/>
      <c r="H2" s="89" t="s">
        <v>140</v>
      </c>
    </row>
    <row r="3" spans="1:8" x14ac:dyDescent="0.3">
      <c r="A3" s="87" t="s">
        <v>14</v>
      </c>
      <c r="B3" s="87"/>
      <c r="C3" s="87"/>
      <c r="D3" s="87"/>
      <c r="E3" s="87"/>
      <c r="F3" s="87"/>
      <c r="G3" s="87" t="s">
        <v>141</v>
      </c>
      <c r="H3" s="87" t="s">
        <v>142</v>
      </c>
    </row>
    <row r="4" spans="1:8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91" t="s">
        <v>3</v>
      </c>
    </row>
    <row r="5" spans="1:8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98" t="s">
        <v>17</v>
      </c>
    </row>
    <row r="6" spans="1:8" x14ac:dyDescent="0.3">
      <c r="A6" s="99" t="s">
        <v>148</v>
      </c>
      <c r="B6" s="100" t="s">
        <v>149</v>
      </c>
      <c r="C6" s="81" t="s">
        <v>112</v>
      </c>
      <c r="D6" s="82"/>
      <c r="E6" s="101"/>
      <c r="F6" s="101"/>
      <c r="G6" s="102"/>
      <c r="H6" s="224"/>
    </row>
    <row r="7" spans="1:8" x14ac:dyDescent="0.3">
      <c r="A7" s="99"/>
      <c r="B7" s="100"/>
      <c r="C7" s="84" t="s">
        <v>113</v>
      </c>
      <c r="D7" s="103">
        <v>20000</v>
      </c>
      <c r="E7" s="103"/>
      <c r="F7" s="103"/>
      <c r="G7" s="102">
        <f>D7</f>
        <v>20000</v>
      </c>
      <c r="H7" s="104" t="s">
        <v>114</v>
      </c>
    </row>
    <row r="8" spans="1:8" x14ac:dyDescent="0.3">
      <c r="A8" s="99" t="s">
        <v>210</v>
      </c>
      <c r="B8" s="100" t="s">
        <v>219</v>
      </c>
      <c r="C8" s="50" t="s">
        <v>220</v>
      </c>
      <c r="D8" s="103"/>
      <c r="E8" s="103">
        <v>850</v>
      </c>
      <c r="F8" s="103"/>
      <c r="G8" s="102">
        <f>G7-E8</f>
        <v>19150</v>
      </c>
      <c r="H8" s="104"/>
    </row>
    <row r="9" spans="1:8" x14ac:dyDescent="0.3">
      <c r="A9" s="99" t="s">
        <v>261</v>
      </c>
      <c r="B9" s="100"/>
      <c r="C9" s="50" t="s">
        <v>264</v>
      </c>
      <c r="D9" s="103"/>
      <c r="E9" s="103">
        <v>7900</v>
      </c>
      <c r="F9" s="103"/>
      <c r="G9" s="102">
        <f>G8-E9</f>
        <v>11250</v>
      </c>
      <c r="H9" s="104"/>
    </row>
    <row r="10" spans="1:8" x14ac:dyDescent="0.3">
      <c r="A10" s="99" t="s">
        <v>349</v>
      </c>
      <c r="B10" s="100"/>
      <c r="C10" s="50" t="s">
        <v>220</v>
      </c>
      <c r="D10" s="103"/>
      <c r="E10" s="103">
        <v>8500</v>
      </c>
      <c r="F10" s="103"/>
      <c r="G10" s="102">
        <f>G9-E10</f>
        <v>2750</v>
      </c>
      <c r="H10" s="104"/>
    </row>
    <row r="11" spans="1:8" x14ac:dyDescent="0.3">
      <c r="A11" s="99"/>
      <c r="B11" s="100"/>
      <c r="C11" s="50" t="s">
        <v>220</v>
      </c>
      <c r="D11" s="103"/>
      <c r="E11" s="103">
        <v>4890</v>
      </c>
      <c r="F11" s="103"/>
      <c r="G11" s="102">
        <f>G10-E11</f>
        <v>-2140</v>
      </c>
      <c r="H11" s="104"/>
    </row>
    <row r="12" spans="1:8" x14ac:dyDescent="0.3">
      <c r="A12" s="99"/>
      <c r="B12" s="100"/>
      <c r="C12" s="50" t="s">
        <v>862</v>
      </c>
      <c r="D12" s="103">
        <v>5000</v>
      </c>
      <c r="E12" s="103"/>
      <c r="F12" s="103"/>
      <c r="G12" s="102">
        <f>G11+D12</f>
        <v>2860</v>
      </c>
      <c r="H12" s="104"/>
    </row>
    <row r="13" spans="1:8" x14ac:dyDescent="0.3">
      <c r="A13" s="99"/>
      <c r="B13" s="100"/>
      <c r="C13" s="273" t="s">
        <v>863</v>
      </c>
      <c r="D13" s="261">
        <v>5000</v>
      </c>
      <c r="E13" s="103"/>
      <c r="F13" s="103"/>
      <c r="G13" s="102">
        <f>G12+D13</f>
        <v>7860</v>
      </c>
      <c r="H13" s="104"/>
    </row>
    <row r="14" spans="1:8" x14ac:dyDescent="0.3">
      <c r="A14" s="99" t="s">
        <v>867</v>
      </c>
      <c r="B14" s="100" t="s">
        <v>884</v>
      </c>
      <c r="C14" s="50" t="s">
        <v>220</v>
      </c>
      <c r="D14" s="103"/>
      <c r="E14" s="103">
        <v>3500</v>
      </c>
      <c r="F14" s="103"/>
      <c r="G14" s="102">
        <f>G13-E14</f>
        <v>4360</v>
      </c>
      <c r="H14" s="104"/>
    </row>
    <row r="15" spans="1:8" x14ac:dyDescent="0.3">
      <c r="A15" s="99" t="s">
        <v>1062</v>
      </c>
      <c r="B15" s="100" t="s">
        <v>1102</v>
      </c>
      <c r="C15" s="50" t="s">
        <v>220</v>
      </c>
      <c r="D15" s="103"/>
      <c r="E15" s="103">
        <v>650</v>
      </c>
      <c r="F15" s="103"/>
      <c r="G15" s="102">
        <f>G14-E15</f>
        <v>3710</v>
      </c>
      <c r="H15" s="104"/>
    </row>
    <row r="16" spans="1:8" x14ac:dyDescent="0.3">
      <c r="A16" s="99"/>
      <c r="B16" s="100" t="s">
        <v>1103</v>
      </c>
      <c r="C16" s="50" t="s">
        <v>220</v>
      </c>
      <c r="D16" s="103"/>
      <c r="E16" s="103">
        <v>1400</v>
      </c>
      <c r="F16" s="103"/>
      <c r="G16" s="102">
        <f>G15-E16</f>
        <v>2310</v>
      </c>
      <c r="H16" s="104"/>
    </row>
    <row r="17" spans="1:8" x14ac:dyDescent="0.3">
      <c r="A17" s="99" t="s">
        <v>1169</v>
      </c>
      <c r="B17" s="100" t="s">
        <v>1170</v>
      </c>
      <c r="C17" s="50" t="s">
        <v>220</v>
      </c>
      <c r="D17" s="103"/>
      <c r="E17" s="103">
        <v>890</v>
      </c>
      <c r="F17" s="103"/>
      <c r="G17" s="102">
        <f>G16-E17</f>
        <v>1420</v>
      </c>
      <c r="H17" s="104"/>
    </row>
    <row r="18" spans="1:8" x14ac:dyDescent="0.3">
      <c r="A18" s="145" t="s">
        <v>1222</v>
      </c>
      <c r="B18" s="107"/>
      <c r="C18" s="50" t="s">
        <v>1229</v>
      </c>
      <c r="D18" s="261">
        <v>20000</v>
      </c>
      <c r="E18" s="103"/>
      <c r="F18" s="103"/>
      <c r="G18" s="102">
        <f>G17+D18</f>
        <v>21420</v>
      </c>
      <c r="H18" s="104"/>
    </row>
    <row r="19" spans="1:8" x14ac:dyDescent="0.3">
      <c r="A19" s="99" t="s">
        <v>1360</v>
      </c>
      <c r="B19" s="100" t="s">
        <v>1363</v>
      </c>
      <c r="C19" s="50" t="s">
        <v>1364</v>
      </c>
      <c r="D19" s="261"/>
      <c r="E19" s="103">
        <v>3240</v>
      </c>
      <c r="F19" s="103"/>
      <c r="G19" s="102">
        <f>G18-E19</f>
        <v>18180</v>
      </c>
      <c r="H19" s="104"/>
    </row>
    <row r="20" spans="1:8" x14ac:dyDescent="0.3">
      <c r="A20" s="99" t="s">
        <v>1405</v>
      </c>
      <c r="B20" s="107" t="s">
        <v>1410</v>
      </c>
      <c r="C20" s="50" t="s">
        <v>1408</v>
      </c>
      <c r="D20" s="261"/>
      <c r="E20" s="103">
        <v>350</v>
      </c>
      <c r="F20" s="103"/>
      <c r="G20" s="102">
        <f>G19-E20</f>
        <v>17830</v>
      </c>
      <c r="H20" s="104"/>
    </row>
    <row r="21" spans="1:8" x14ac:dyDescent="0.3">
      <c r="A21" s="99"/>
      <c r="B21" s="107" t="s">
        <v>1411</v>
      </c>
      <c r="C21" s="50" t="s">
        <v>1409</v>
      </c>
      <c r="D21" s="261"/>
      <c r="E21" s="103">
        <v>4590</v>
      </c>
      <c r="F21" s="103"/>
      <c r="G21" s="102">
        <f>G20-E21</f>
        <v>13240</v>
      </c>
      <c r="H21" s="104"/>
    </row>
    <row r="22" spans="1:8" x14ac:dyDescent="0.3">
      <c r="A22" s="99" t="s">
        <v>1469</v>
      </c>
      <c r="B22" s="107" t="s">
        <v>1482</v>
      </c>
      <c r="C22" s="50" t="s">
        <v>1409</v>
      </c>
      <c r="D22" s="261"/>
      <c r="E22" s="103">
        <v>1780</v>
      </c>
      <c r="F22" s="103"/>
      <c r="G22" s="102">
        <f>G21-E22</f>
        <v>11460</v>
      </c>
      <c r="H22" s="104"/>
    </row>
    <row r="23" spans="1:8" x14ac:dyDescent="0.3">
      <c r="A23" s="145"/>
      <c r="B23" s="107"/>
      <c r="C23" s="50"/>
      <c r="D23" s="261"/>
      <c r="E23" s="103"/>
      <c r="F23" s="103"/>
      <c r="G23" s="102"/>
      <c r="H23" s="104"/>
    </row>
    <row r="24" spans="1:8" x14ac:dyDescent="0.3">
      <c r="A24" s="99"/>
      <c r="B24" s="100"/>
      <c r="C24" s="84" t="s">
        <v>162</v>
      </c>
      <c r="D24" s="103">
        <v>200000</v>
      </c>
      <c r="E24" s="103"/>
      <c r="F24" s="103"/>
      <c r="G24" s="102">
        <f>D24</f>
        <v>200000</v>
      </c>
      <c r="H24" s="104" t="s">
        <v>114</v>
      </c>
    </row>
    <row r="25" spans="1:8" x14ac:dyDescent="0.3">
      <c r="A25" s="99" t="s">
        <v>622</v>
      </c>
      <c r="B25" s="107"/>
      <c r="C25" s="50" t="s">
        <v>776</v>
      </c>
      <c r="D25" s="103">
        <v>-30000</v>
      </c>
      <c r="E25" s="103"/>
      <c r="F25" s="103"/>
      <c r="G25" s="102">
        <f>G24+D25</f>
        <v>170000</v>
      </c>
      <c r="H25" s="104"/>
    </row>
    <row r="26" spans="1:8" x14ac:dyDescent="0.3">
      <c r="A26" s="99" t="s">
        <v>622</v>
      </c>
      <c r="B26" s="107"/>
      <c r="C26" s="50" t="s">
        <v>777</v>
      </c>
      <c r="D26" s="103">
        <v>-20000</v>
      </c>
      <c r="E26" s="103"/>
      <c r="F26" s="103"/>
      <c r="G26" s="102">
        <f>G25+D26</f>
        <v>150000</v>
      </c>
      <c r="H26" s="104"/>
    </row>
    <row r="27" spans="1:8" x14ac:dyDescent="0.3">
      <c r="A27" s="99" t="s">
        <v>741</v>
      </c>
      <c r="B27" s="107"/>
      <c r="C27" s="50" t="s">
        <v>777</v>
      </c>
      <c r="D27" s="261">
        <v>-50000</v>
      </c>
      <c r="E27" s="108"/>
      <c r="F27" s="103"/>
      <c r="G27" s="102">
        <f>G26+D27</f>
        <v>100000</v>
      </c>
      <c r="H27" s="104"/>
    </row>
    <row r="28" spans="1:8" x14ac:dyDescent="0.3">
      <c r="A28" s="99" t="s">
        <v>818</v>
      </c>
      <c r="B28" s="107"/>
      <c r="C28" s="50" t="s">
        <v>776</v>
      </c>
      <c r="D28" s="261">
        <v>-50000</v>
      </c>
      <c r="E28" s="108"/>
      <c r="F28" s="103"/>
      <c r="G28" s="102">
        <f>G27+D28</f>
        <v>50000</v>
      </c>
      <c r="H28" s="104"/>
    </row>
    <row r="29" spans="1:8" x14ac:dyDescent="0.3">
      <c r="A29" s="99" t="s">
        <v>867</v>
      </c>
      <c r="B29" s="107" t="s">
        <v>883</v>
      </c>
      <c r="C29" s="50" t="s">
        <v>161</v>
      </c>
      <c r="D29" s="261"/>
      <c r="E29" s="108">
        <v>4500</v>
      </c>
      <c r="F29" s="103"/>
      <c r="G29" s="102">
        <f>G28-E29</f>
        <v>45500</v>
      </c>
      <c r="H29" s="104"/>
    </row>
    <row r="30" spans="1:8" x14ac:dyDescent="0.3">
      <c r="A30" s="99" t="s">
        <v>888</v>
      </c>
      <c r="B30" s="107" t="s">
        <v>355</v>
      </c>
      <c r="C30" s="50" t="s">
        <v>896</v>
      </c>
      <c r="D30" s="261"/>
      <c r="E30" s="108">
        <v>500</v>
      </c>
      <c r="F30" s="103"/>
      <c r="G30" s="102">
        <f>G29-E30</f>
        <v>45000</v>
      </c>
      <c r="H30" s="104"/>
    </row>
    <row r="31" spans="1:8" x14ac:dyDescent="0.3">
      <c r="A31" s="145">
        <v>22740</v>
      </c>
      <c r="B31" s="107"/>
      <c r="C31" s="50" t="s">
        <v>1163</v>
      </c>
      <c r="D31" s="261">
        <v>-5000</v>
      </c>
      <c r="E31" s="108"/>
      <c r="F31" s="103"/>
      <c r="G31" s="102">
        <f>G30+D31</f>
        <v>40000</v>
      </c>
      <c r="H31" s="104"/>
    </row>
    <row r="32" spans="1:8" x14ac:dyDescent="0.3">
      <c r="A32" s="145" t="s">
        <v>1189</v>
      </c>
      <c r="B32" s="107"/>
      <c r="C32" s="50" t="s">
        <v>776</v>
      </c>
      <c r="D32" s="261">
        <v>-20500</v>
      </c>
      <c r="E32" s="108"/>
      <c r="F32" s="103"/>
      <c r="G32" s="102">
        <f>G31+D32</f>
        <v>19500</v>
      </c>
      <c r="H32" s="104"/>
    </row>
    <row r="33" spans="1:8" x14ac:dyDescent="0.3">
      <c r="A33" s="145" t="s">
        <v>1222</v>
      </c>
      <c r="B33" s="107"/>
      <c r="C33" s="50" t="s">
        <v>1229</v>
      </c>
      <c r="D33" s="261">
        <v>150000</v>
      </c>
      <c r="E33" s="108"/>
      <c r="F33" s="103"/>
      <c r="G33" s="102">
        <f>G32+D33</f>
        <v>169500</v>
      </c>
      <c r="H33" s="104"/>
    </row>
    <row r="34" spans="1:8" x14ac:dyDescent="0.3">
      <c r="A34" s="145" t="s">
        <v>1360</v>
      </c>
      <c r="B34" s="107" t="s">
        <v>1362</v>
      </c>
      <c r="C34" s="50" t="s">
        <v>161</v>
      </c>
      <c r="D34" s="261"/>
      <c r="E34" s="108">
        <v>96270</v>
      </c>
      <c r="F34" s="103"/>
      <c r="G34" s="102">
        <f>G33-E34</f>
        <v>73230</v>
      </c>
      <c r="H34" s="104"/>
    </row>
    <row r="35" spans="1:8" x14ac:dyDescent="0.3">
      <c r="A35" s="145" t="s">
        <v>1338</v>
      </c>
      <c r="B35" s="107" t="s">
        <v>1382</v>
      </c>
      <c r="C35" s="50" t="s">
        <v>1383</v>
      </c>
      <c r="D35" s="261"/>
      <c r="E35" s="108">
        <v>800</v>
      </c>
      <c r="F35" s="103"/>
      <c r="G35" s="102">
        <f>G34-E35</f>
        <v>72430</v>
      </c>
      <c r="H35" s="104"/>
    </row>
    <row r="36" spans="1:8" x14ac:dyDescent="0.3">
      <c r="A36" s="145" t="s">
        <v>1405</v>
      </c>
      <c r="B36" s="107" t="s">
        <v>1406</v>
      </c>
      <c r="C36" s="50" t="s">
        <v>1407</v>
      </c>
      <c r="D36" s="261"/>
      <c r="E36" s="108">
        <v>15250</v>
      </c>
      <c r="F36" s="103"/>
      <c r="G36" s="102">
        <f>G35-E36</f>
        <v>57180</v>
      </c>
      <c r="H36" s="104"/>
    </row>
    <row r="37" spans="1:8" x14ac:dyDescent="0.3">
      <c r="A37" s="145"/>
      <c r="B37" s="107" t="s">
        <v>1566</v>
      </c>
      <c r="C37" s="50" t="s">
        <v>1565</v>
      </c>
      <c r="D37" s="261"/>
      <c r="E37" s="108">
        <v>3350</v>
      </c>
      <c r="F37" s="103"/>
      <c r="G37" s="102">
        <f t="shared" ref="G37:G38" si="0">G36-E37</f>
        <v>53830</v>
      </c>
      <c r="H37" s="104"/>
    </row>
    <row r="38" spans="1:8" x14ac:dyDescent="0.3">
      <c r="A38" s="145"/>
      <c r="B38" s="107" t="s">
        <v>1567</v>
      </c>
      <c r="C38" s="50" t="s">
        <v>1564</v>
      </c>
      <c r="D38" s="261"/>
      <c r="E38" s="108">
        <v>2500</v>
      </c>
      <c r="F38" s="103"/>
      <c r="G38" s="102">
        <f t="shared" si="0"/>
        <v>51330</v>
      </c>
      <c r="H38" s="104"/>
    </row>
    <row r="39" spans="1:8" x14ac:dyDescent="0.3">
      <c r="A39" s="145"/>
      <c r="B39" s="107"/>
      <c r="C39" s="50"/>
      <c r="D39" s="261"/>
      <c r="E39" s="108"/>
      <c r="F39" s="103"/>
      <c r="G39" s="102"/>
      <c r="H39" s="104"/>
    </row>
    <row r="40" spans="1:8" x14ac:dyDescent="0.3">
      <c r="A40" s="99"/>
      <c r="B40" s="100"/>
      <c r="C40" s="84" t="s">
        <v>163</v>
      </c>
      <c r="D40" s="103">
        <v>30000</v>
      </c>
      <c r="E40" s="103"/>
      <c r="F40" s="103"/>
      <c r="G40" s="102">
        <f>D40</f>
        <v>30000</v>
      </c>
      <c r="H40" s="104" t="s">
        <v>114</v>
      </c>
    </row>
    <row r="41" spans="1:8" x14ac:dyDescent="0.3">
      <c r="A41" s="99" t="s">
        <v>818</v>
      </c>
      <c r="B41" s="100"/>
      <c r="C41" s="50" t="s">
        <v>776</v>
      </c>
      <c r="D41" s="261">
        <v>-10000</v>
      </c>
      <c r="E41" s="103"/>
      <c r="F41" s="103"/>
      <c r="G41" s="102">
        <f>G40+D41</f>
        <v>20000</v>
      </c>
      <c r="H41" s="104"/>
    </row>
    <row r="42" spans="1:8" x14ac:dyDescent="0.3">
      <c r="A42" s="99" t="s">
        <v>1133</v>
      </c>
      <c r="B42" s="100"/>
      <c r="C42" s="50" t="s">
        <v>1134</v>
      </c>
      <c r="D42" s="261">
        <v>-20000</v>
      </c>
      <c r="E42" s="103"/>
      <c r="F42" s="103"/>
      <c r="G42" s="266">
        <f>G41+D42</f>
        <v>0</v>
      </c>
      <c r="H42" s="104"/>
    </row>
    <row r="43" spans="1:8" x14ac:dyDescent="0.3">
      <c r="A43" s="99"/>
      <c r="B43" s="100"/>
      <c r="C43" s="50"/>
      <c r="D43" s="261"/>
      <c r="E43" s="103"/>
      <c r="F43" s="103"/>
      <c r="G43" s="102"/>
      <c r="H43" s="104"/>
    </row>
    <row r="44" spans="1:8" x14ac:dyDescent="0.3">
      <c r="A44" s="99"/>
      <c r="B44" s="100"/>
      <c r="C44" s="84" t="s">
        <v>164</v>
      </c>
      <c r="D44" s="103">
        <v>150000</v>
      </c>
      <c r="E44" s="103"/>
      <c r="F44" s="103"/>
      <c r="G44" s="102">
        <f>D44</f>
        <v>150000</v>
      </c>
      <c r="H44" s="104" t="s">
        <v>114</v>
      </c>
    </row>
    <row r="45" spans="1:8" x14ac:dyDescent="0.3">
      <c r="A45" s="99" t="s">
        <v>194</v>
      </c>
      <c r="B45" s="100" t="s">
        <v>204</v>
      </c>
      <c r="C45" s="50" t="s">
        <v>205</v>
      </c>
      <c r="D45" s="103"/>
      <c r="E45" s="103">
        <v>31500</v>
      </c>
      <c r="F45" s="103"/>
      <c r="G45" s="102">
        <f t="shared" ref="G45:G51" si="1">G44-E45</f>
        <v>118500</v>
      </c>
      <c r="H45" s="104"/>
    </row>
    <row r="46" spans="1:8" x14ac:dyDescent="0.3">
      <c r="A46" s="99" t="s">
        <v>320</v>
      </c>
      <c r="B46" s="100" t="s">
        <v>330</v>
      </c>
      <c r="C46" s="50" t="s">
        <v>331</v>
      </c>
      <c r="D46" s="103"/>
      <c r="E46" s="103">
        <v>26700</v>
      </c>
      <c r="F46" s="103"/>
      <c r="G46" s="102">
        <f t="shared" si="1"/>
        <v>91800</v>
      </c>
      <c r="H46" s="104"/>
    </row>
    <row r="47" spans="1:8" x14ac:dyDescent="0.3">
      <c r="A47" s="99" t="s">
        <v>613</v>
      </c>
      <c r="B47" s="100" t="s">
        <v>612</v>
      </c>
      <c r="C47" s="50" t="s">
        <v>614</v>
      </c>
      <c r="D47" s="103"/>
      <c r="E47" s="103">
        <v>277.39999999999998</v>
      </c>
      <c r="F47" s="103"/>
      <c r="G47" s="102">
        <f t="shared" si="1"/>
        <v>91522.6</v>
      </c>
      <c r="H47" s="104"/>
    </row>
    <row r="48" spans="1:8" x14ac:dyDescent="0.3">
      <c r="A48" s="99" t="s">
        <v>615</v>
      </c>
      <c r="B48" s="100" t="s">
        <v>616</v>
      </c>
      <c r="C48" s="50" t="s">
        <v>370</v>
      </c>
      <c r="D48" s="103"/>
      <c r="E48" s="103">
        <v>37230</v>
      </c>
      <c r="F48" s="103"/>
      <c r="G48" s="102">
        <f t="shared" si="1"/>
        <v>54292.600000000006</v>
      </c>
      <c r="H48" s="104"/>
    </row>
    <row r="49" spans="1:8" x14ac:dyDescent="0.3">
      <c r="A49" s="99" t="s">
        <v>795</v>
      </c>
      <c r="B49" s="100" t="s">
        <v>813</v>
      </c>
      <c r="C49" s="50" t="s">
        <v>640</v>
      </c>
      <c r="D49" s="261"/>
      <c r="E49" s="103">
        <v>27000</v>
      </c>
      <c r="F49" s="103"/>
      <c r="G49" s="102">
        <f t="shared" si="1"/>
        <v>27292.600000000006</v>
      </c>
      <c r="H49" s="104"/>
    </row>
    <row r="50" spans="1:8" x14ac:dyDescent="0.3">
      <c r="A50" s="99" t="s">
        <v>988</v>
      </c>
      <c r="B50" s="100" t="s">
        <v>989</v>
      </c>
      <c r="C50" s="50" t="s">
        <v>895</v>
      </c>
      <c r="D50" s="261"/>
      <c r="E50" s="103">
        <v>22230</v>
      </c>
      <c r="F50" s="103"/>
      <c r="G50" s="102">
        <f t="shared" si="1"/>
        <v>5062.6000000000058</v>
      </c>
      <c r="H50" s="104"/>
    </row>
    <row r="51" spans="1:8" x14ac:dyDescent="0.3">
      <c r="A51" s="99" t="s">
        <v>1019</v>
      </c>
      <c r="B51" s="100" t="s">
        <v>1027</v>
      </c>
      <c r="C51" s="50" t="s">
        <v>614</v>
      </c>
      <c r="D51" s="261"/>
      <c r="E51" s="103">
        <v>278.39999999999998</v>
      </c>
      <c r="F51" s="103"/>
      <c r="G51" s="102">
        <f t="shared" si="1"/>
        <v>4784.2000000000062</v>
      </c>
      <c r="H51" s="104"/>
    </row>
    <row r="52" spans="1:8" x14ac:dyDescent="0.3">
      <c r="A52" s="99" t="s">
        <v>1130</v>
      </c>
      <c r="B52" s="100"/>
      <c r="C52" s="50" t="s">
        <v>1135</v>
      </c>
      <c r="D52" s="261">
        <v>20000</v>
      </c>
      <c r="E52" s="103"/>
      <c r="F52" s="103"/>
      <c r="G52" s="102">
        <f>G51+D52</f>
        <v>24784.200000000004</v>
      </c>
      <c r="H52" s="104"/>
    </row>
    <row r="53" spans="1:8" x14ac:dyDescent="0.3">
      <c r="A53" s="99" t="s">
        <v>1130</v>
      </c>
      <c r="B53" s="100"/>
      <c r="C53" s="50" t="s">
        <v>1136</v>
      </c>
      <c r="D53" s="261">
        <v>3000</v>
      </c>
      <c r="E53" s="103"/>
      <c r="F53" s="103"/>
      <c r="G53" s="102">
        <f>G52+D53-F53</f>
        <v>27784.200000000004</v>
      </c>
      <c r="H53" s="104"/>
    </row>
    <row r="54" spans="1:8" x14ac:dyDescent="0.3">
      <c r="A54" s="99" t="s">
        <v>1169</v>
      </c>
      <c r="B54" s="100" t="s">
        <v>1171</v>
      </c>
      <c r="C54" s="50" t="s">
        <v>1065</v>
      </c>
      <c r="D54" s="261"/>
      <c r="E54" s="103">
        <v>27700</v>
      </c>
      <c r="F54" s="103"/>
      <c r="G54" s="102">
        <f>G53-E54</f>
        <v>84.200000000004366</v>
      </c>
      <c r="H54" s="104"/>
    </row>
    <row r="55" spans="1:8" x14ac:dyDescent="0.3">
      <c r="A55" s="145" t="s">
        <v>1222</v>
      </c>
      <c r="B55" s="107"/>
      <c r="C55" s="50" t="s">
        <v>1229</v>
      </c>
      <c r="D55" s="261">
        <v>50000</v>
      </c>
      <c r="E55" s="103"/>
      <c r="F55" s="103"/>
      <c r="G55" s="102">
        <f>G54+D55</f>
        <v>50084.200000000004</v>
      </c>
      <c r="H55" s="104"/>
    </row>
    <row r="56" spans="1:8" x14ac:dyDescent="0.3">
      <c r="A56" s="99" t="s">
        <v>1338</v>
      </c>
      <c r="B56" s="100" t="s">
        <v>1371</v>
      </c>
      <c r="C56" s="50" t="s">
        <v>1372</v>
      </c>
      <c r="D56" s="261"/>
      <c r="E56" s="103">
        <v>20300</v>
      </c>
      <c r="F56" s="103"/>
      <c r="G56" s="102">
        <f>G55-E56</f>
        <v>29784.200000000004</v>
      </c>
      <c r="H56" s="104"/>
    </row>
    <row r="57" spans="1:8" x14ac:dyDescent="0.3">
      <c r="A57" s="99" t="s">
        <v>1509</v>
      </c>
      <c r="B57" s="100" t="s">
        <v>1508</v>
      </c>
      <c r="C57" s="50" t="s">
        <v>1507</v>
      </c>
      <c r="D57" s="103"/>
      <c r="E57" s="103">
        <v>22650</v>
      </c>
      <c r="F57" s="103"/>
      <c r="G57" s="102">
        <f>G56-E57</f>
        <v>7134.2000000000044</v>
      </c>
      <c r="H57" s="104"/>
    </row>
    <row r="58" spans="1:8" x14ac:dyDescent="0.3">
      <c r="A58" s="99"/>
      <c r="B58" s="100"/>
      <c r="C58" s="50"/>
      <c r="D58" s="103"/>
      <c r="E58" s="103"/>
      <c r="F58" s="103"/>
      <c r="G58" s="102"/>
      <c r="H58" s="104"/>
    </row>
    <row r="59" spans="1:8" x14ac:dyDescent="0.3">
      <c r="A59" s="99"/>
      <c r="B59" s="100"/>
      <c r="C59" s="50"/>
      <c r="D59" s="103"/>
      <c r="E59" s="103"/>
      <c r="F59" s="103"/>
      <c r="G59" s="102"/>
      <c r="H59" s="104"/>
    </row>
    <row r="60" spans="1:8" x14ac:dyDescent="0.3">
      <c r="A60" s="99"/>
      <c r="B60" s="100"/>
      <c r="C60" s="84" t="s">
        <v>165</v>
      </c>
      <c r="D60" s="103">
        <v>150000</v>
      </c>
      <c r="E60" s="103"/>
      <c r="F60" s="103"/>
      <c r="G60" s="102">
        <f>D60</f>
        <v>150000</v>
      </c>
      <c r="H60" s="104" t="s">
        <v>114</v>
      </c>
    </row>
    <row r="61" spans="1:8" x14ac:dyDescent="0.3">
      <c r="A61" s="99" t="s">
        <v>210</v>
      </c>
      <c r="B61" s="100" t="s">
        <v>222</v>
      </c>
      <c r="C61" s="50" t="s">
        <v>223</v>
      </c>
      <c r="D61" s="103"/>
      <c r="E61" s="103">
        <v>9084.2999999999993</v>
      </c>
      <c r="F61" s="103"/>
      <c r="G61" s="102">
        <f>G60-E61</f>
        <v>140915.70000000001</v>
      </c>
      <c r="H61" s="104"/>
    </row>
    <row r="62" spans="1:8" x14ac:dyDescent="0.3">
      <c r="A62" s="99"/>
      <c r="B62" s="100" t="s">
        <v>224</v>
      </c>
      <c r="C62" s="50" t="s">
        <v>225</v>
      </c>
      <c r="D62" s="103"/>
      <c r="E62" s="103">
        <v>4606.3500000000004</v>
      </c>
      <c r="F62" s="103"/>
      <c r="G62" s="102">
        <f>G61-E62</f>
        <v>136309.35</v>
      </c>
      <c r="H62" s="104"/>
    </row>
    <row r="63" spans="1:8" x14ac:dyDescent="0.3">
      <c r="A63" s="99" t="s">
        <v>307</v>
      </c>
      <c r="B63" s="100" t="s">
        <v>313</v>
      </c>
      <c r="C63" s="50" t="s">
        <v>312</v>
      </c>
      <c r="D63" s="103"/>
      <c r="E63" s="103">
        <v>3228.19</v>
      </c>
      <c r="F63" s="103"/>
      <c r="G63" s="102">
        <f>G62-E63</f>
        <v>133081.16</v>
      </c>
      <c r="H63" s="104"/>
    </row>
    <row r="64" spans="1:8" x14ac:dyDescent="0.3">
      <c r="A64" s="99" t="s">
        <v>741</v>
      </c>
      <c r="B64" s="100"/>
      <c r="C64" s="50" t="s">
        <v>777</v>
      </c>
      <c r="D64" s="261">
        <v>-50000</v>
      </c>
      <c r="E64" s="103"/>
      <c r="F64" s="103"/>
      <c r="G64" s="102">
        <f>G63+D64</f>
        <v>83081.16</v>
      </c>
      <c r="H64" s="104"/>
    </row>
    <row r="65" spans="1:8" x14ac:dyDescent="0.3">
      <c r="A65" s="99" t="s">
        <v>767</v>
      </c>
      <c r="B65" s="100" t="s">
        <v>1141</v>
      </c>
      <c r="C65" s="50" t="s">
        <v>1025</v>
      </c>
      <c r="D65" s="261"/>
      <c r="E65" s="103">
        <v>3264.57</v>
      </c>
      <c r="F65" s="103"/>
      <c r="G65" s="102">
        <f>G64-E65</f>
        <v>79816.59</v>
      </c>
      <c r="H65" s="104"/>
    </row>
    <row r="66" spans="1:8" x14ac:dyDescent="0.3">
      <c r="A66" s="99" t="s">
        <v>818</v>
      </c>
      <c r="B66" s="100" t="s">
        <v>832</v>
      </c>
      <c r="C66" s="50" t="s">
        <v>833</v>
      </c>
      <c r="D66" s="261"/>
      <c r="E66" s="103">
        <v>3000</v>
      </c>
      <c r="F66" s="103"/>
      <c r="G66" s="102">
        <f>G65-E66</f>
        <v>76816.59</v>
      </c>
      <c r="H66" s="104"/>
    </row>
    <row r="67" spans="1:8" x14ac:dyDescent="0.3">
      <c r="A67" s="99" t="s">
        <v>818</v>
      </c>
      <c r="B67" s="100"/>
      <c r="C67" s="50" t="s">
        <v>776</v>
      </c>
      <c r="D67" s="261">
        <v>-30000</v>
      </c>
      <c r="E67" s="103"/>
      <c r="F67" s="103"/>
      <c r="G67" s="102">
        <f>G66+D67</f>
        <v>46816.59</v>
      </c>
      <c r="H67" s="104"/>
    </row>
    <row r="68" spans="1:8" x14ac:dyDescent="0.3">
      <c r="A68" s="99" t="s">
        <v>888</v>
      </c>
      <c r="B68" s="100" t="s">
        <v>899</v>
      </c>
      <c r="C68" s="50" t="s">
        <v>225</v>
      </c>
      <c r="D68" s="261"/>
      <c r="E68" s="103">
        <v>7300</v>
      </c>
      <c r="F68" s="103"/>
      <c r="G68" s="102">
        <f>G67-E68</f>
        <v>39516.589999999997</v>
      </c>
      <c r="H68" s="104"/>
    </row>
    <row r="69" spans="1:8" x14ac:dyDescent="0.3">
      <c r="A69" s="99" t="s">
        <v>907</v>
      </c>
      <c r="B69" s="100" t="s">
        <v>910</v>
      </c>
      <c r="C69" s="50" t="s">
        <v>1025</v>
      </c>
      <c r="D69" s="261"/>
      <c r="E69" s="103">
        <v>3608.04</v>
      </c>
      <c r="F69" s="103"/>
      <c r="G69" s="102">
        <f>G68-E69</f>
        <v>35908.549999999996</v>
      </c>
      <c r="H69" s="104"/>
    </row>
    <row r="70" spans="1:8" x14ac:dyDescent="0.3">
      <c r="A70" s="99" t="s">
        <v>1019</v>
      </c>
      <c r="B70" s="100" t="s">
        <v>1026</v>
      </c>
      <c r="C70" s="50" t="s">
        <v>225</v>
      </c>
      <c r="D70" s="261"/>
      <c r="E70" s="103">
        <v>6872.61</v>
      </c>
      <c r="F70" s="103"/>
      <c r="G70" s="102">
        <f>G69-E70</f>
        <v>29035.939999999995</v>
      </c>
      <c r="H70" s="104"/>
    </row>
    <row r="71" spans="1:8" x14ac:dyDescent="0.3">
      <c r="A71" s="99" t="s">
        <v>1062</v>
      </c>
      <c r="B71" s="100" t="s">
        <v>1101</v>
      </c>
      <c r="C71" s="50" t="s">
        <v>312</v>
      </c>
      <c r="D71" s="261"/>
      <c r="E71" s="103">
        <v>3745</v>
      </c>
      <c r="F71" s="103"/>
      <c r="G71" s="102">
        <f>G70-E71</f>
        <v>25290.939999999995</v>
      </c>
      <c r="H71" s="104"/>
    </row>
    <row r="72" spans="1:8" x14ac:dyDescent="0.3">
      <c r="A72" s="99" t="s">
        <v>1133</v>
      </c>
      <c r="B72" s="100"/>
      <c r="C72" s="50" t="s">
        <v>1134</v>
      </c>
      <c r="D72" s="261">
        <v>-3000</v>
      </c>
      <c r="E72" s="103"/>
      <c r="F72" s="103"/>
      <c r="G72" s="102">
        <f>G71+D72</f>
        <v>22290.939999999995</v>
      </c>
      <c r="H72" s="104"/>
    </row>
    <row r="73" spans="1:8" x14ac:dyDescent="0.3">
      <c r="A73" s="145" t="s">
        <v>1189</v>
      </c>
      <c r="B73" s="107"/>
      <c r="C73" s="50" t="s">
        <v>776</v>
      </c>
      <c r="D73" s="261">
        <v>-19000</v>
      </c>
      <c r="E73" s="103"/>
      <c r="F73" s="103"/>
      <c r="G73" s="102">
        <f>G72+D73</f>
        <v>3290.9399999999951</v>
      </c>
      <c r="H73" s="104"/>
    </row>
    <row r="74" spans="1:8" x14ac:dyDescent="0.3">
      <c r="A74" s="145" t="s">
        <v>1222</v>
      </c>
      <c r="B74" s="107"/>
      <c r="C74" s="50" t="s">
        <v>1229</v>
      </c>
      <c r="D74" s="261">
        <v>30000</v>
      </c>
      <c r="E74" s="103"/>
      <c r="F74" s="103"/>
      <c r="G74" s="102">
        <f>G73+D74</f>
        <v>33290.939999999995</v>
      </c>
      <c r="H74" s="104"/>
    </row>
    <row r="75" spans="1:8" x14ac:dyDescent="0.3">
      <c r="A75" s="145" t="s">
        <v>1164</v>
      </c>
      <c r="B75" s="107" t="s">
        <v>1230</v>
      </c>
      <c r="C75" s="50" t="s">
        <v>1231</v>
      </c>
      <c r="D75" s="261"/>
      <c r="E75" s="103">
        <v>5350</v>
      </c>
      <c r="F75" s="103"/>
      <c r="G75" s="102">
        <f>G74-E75</f>
        <v>27940.939999999995</v>
      </c>
      <c r="H75" s="104"/>
    </row>
    <row r="76" spans="1:8" x14ac:dyDescent="0.3">
      <c r="A76" s="145" t="s">
        <v>1360</v>
      </c>
      <c r="B76" s="107" t="s">
        <v>1365</v>
      </c>
      <c r="C76" s="50" t="s">
        <v>225</v>
      </c>
      <c r="D76" s="261"/>
      <c r="E76" s="103">
        <v>9705.11</v>
      </c>
      <c r="F76" s="103"/>
      <c r="G76" s="102">
        <f>G75-E76</f>
        <v>18235.829999999994</v>
      </c>
      <c r="H76" s="104"/>
    </row>
    <row r="77" spans="1:8" x14ac:dyDescent="0.3">
      <c r="A77" s="145" t="s">
        <v>1513</v>
      </c>
      <c r="B77" s="107" t="s">
        <v>1545</v>
      </c>
      <c r="C77" s="50" t="s">
        <v>1544</v>
      </c>
      <c r="D77" s="261"/>
      <c r="E77" s="103">
        <v>8170.52</v>
      </c>
      <c r="F77" s="103"/>
      <c r="G77" s="102">
        <f>G76-E77</f>
        <v>10065.309999999994</v>
      </c>
      <c r="H77" s="104"/>
    </row>
    <row r="78" spans="1:8" x14ac:dyDescent="0.3">
      <c r="A78" s="99"/>
      <c r="B78" s="100"/>
      <c r="C78" s="50"/>
      <c r="D78" s="103"/>
      <c r="E78" s="103"/>
      <c r="F78" s="103"/>
      <c r="G78" s="102"/>
      <c r="H78" s="104"/>
    </row>
    <row r="79" spans="1:8" x14ac:dyDescent="0.3">
      <c r="A79" s="99"/>
      <c r="B79" s="100"/>
      <c r="C79" s="84" t="s">
        <v>166</v>
      </c>
      <c r="D79" s="103">
        <v>15000</v>
      </c>
      <c r="E79" s="103"/>
      <c r="F79" s="103"/>
      <c r="G79" s="102">
        <f>D79</f>
        <v>15000</v>
      </c>
      <c r="H79" s="104"/>
    </row>
    <row r="80" spans="1:8" x14ac:dyDescent="0.3">
      <c r="A80" s="99" t="s">
        <v>1062</v>
      </c>
      <c r="B80" s="100" t="s">
        <v>1104</v>
      </c>
      <c r="C80" s="50" t="s">
        <v>1105</v>
      </c>
      <c r="D80" s="103"/>
      <c r="E80" s="103">
        <v>8875</v>
      </c>
      <c r="F80" s="103"/>
      <c r="G80" s="102">
        <f>G79-E80</f>
        <v>6125</v>
      </c>
      <c r="H80" s="104"/>
    </row>
    <row r="81" spans="1:8" ht="18.75" x14ac:dyDescent="0.3">
      <c r="A81" s="99" t="s">
        <v>1199</v>
      </c>
      <c r="B81" s="100"/>
      <c r="C81" s="50" t="s">
        <v>1478</v>
      </c>
      <c r="D81" s="103"/>
      <c r="E81" s="330">
        <v>-25</v>
      </c>
      <c r="F81" s="103"/>
      <c r="G81" s="102">
        <f>G80-E81</f>
        <v>6150</v>
      </c>
      <c r="H81" s="104"/>
    </row>
    <row r="82" spans="1:8" x14ac:dyDescent="0.3">
      <c r="A82" s="99"/>
      <c r="B82" s="100"/>
      <c r="C82" s="84" t="s">
        <v>124</v>
      </c>
      <c r="D82" s="103">
        <v>100000</v>
      </c>
      <c r="E82" s="103"/>
      <c r="F82" s="103"/>
      <c r="G82" s="102">
        <f>D82</f>
        <v>100000</v>
      </c>
      <c r="H82" s="104"/>
    </row>
    <row r="83" spans="1:8" x14ac:dyDescent="0.3">
      <c r="A83" s="99" t="s">
        <v>194</v>
      </c>
      <c r="B83" s="100" t="s">
        <v>208</v>
      </c>
      <c r="C83" s="50" t="s">
        <v>209</v>
      </c>
      <c r="D83" s="103"/>
      <c r="E83" s="103">
        <v>5850</v>
      </c>
      <c r="F83" s="103"/>
      <c r="G83" s="102">
        <f t="shared" ref="G83:G99" si="2">G82-E83</f>
        <v>94150</v>
      </c>
      <c r="H83" s="104"/>
    </row>
    <row r="84" spans="1:8" x14ac:dyDescent="0.3">
      <c r="A84" s="99" t="s">
        <v>210</v>
      </c>
      <c r="B84" s="100" t="s">
        <v>213</v>
      </c>
      <c r="C84" s="50" t="s">
        <v>214</v>
      </c>
      <c r="D84" s="103"/>
      <c r="E84" s="103">
        <v>1020</v>
      </c>
      <c r="F84" s="103"/>
      <c r="G84" s="102">
        <f t="shared" si="2"/>
        <v>93130</v>
      </c>
      <c r="H84" s="104"/>
    </row>
    <row r="85" spans="1:8" x14ac:dyDescent="0.3">
      <c r="A85" s="99"/>
      <c r="B85" s="100" t="s">
        <v>232</v>
      </c>
      <c r="C85" s="50" t="s">
        <v>221</v>
      </c>
      <c r="D85" s="103"/>
      <c r="E85" s="103">
        <v>1960</v>
      </c>
      <c r="F85" s="103"/>
      <c r="G85" s="102">
        <f t="shared" si="2"/>
        <v>91170</v>
      </c>
      <c r="H85" s="104"/>
    </row>
    <row r="86" spans="1:8" x14ac:dyDescent="0.3">
      <c r="A86" s="99" t="s">
        <v>230</v>
      </c>
      <c r="B86" s="100" t="s">
        <v>233</v>
      </c>
      <c r="C86" s="50" t="s">
        <v>234</v>
      </c>
      <c r="D86" s="103"/>
      <c r="E86" s="103">
        <v>8240</v>
      </c>
      <c r="F86" s="103"/>
      <c r="G86" s="102">
        <f t="shared" si="2"/>
        <v>82930</v>
      </c>
      <c r="H86" s="104"/>
    </row>
    <row r="87" spans="1:8" x14ac:dyDescent="0.3">
      <c r="A87" s="99" t="s">
        <v>235</v>
      </c>
      <c r="B87" s="100" t="s">
        <v>238</v>
      </c>
      <c r="C87" s="50" t="s">
        <v>239</v>
      </c>
      <c r="D87" s="103"/>
      <c r="E87" s="103">
        <v>1240</v>
      </c>
      <c r="F87" s="103"/>
      <c r="G87" s="102">
        <f t="shared" si="2"/>
        <v>81690</v>
      </c>
      <c r="H87" s="104"/>
    </row>
    <row r="88" spans="1:8" x14ac:dyDescent="0.3">
      <c r="A88" s="99" t="s">
        <v>255</v>
      </c>
      <c r="B88" s="100" t="s">
        <v>257</v>
      </c>
      <c r="C88" s="50" t="s">
        <v>258</v>
      </c>
      <c r="D88" s="103"/>
      <c r="E88" s="103">
        <v>3190</v>
      </c>
      <c r="F88" s="103"/>
      <c r="G88" s="102">
        <f t="shared" si="2"/>
        <v>78500</v>
      </c>
      <c r="H88" s="104"/>
    </row>
    <row r="89" spans="1:8" x14ac:dyDescent="0.3">
      <c r="A89" s="99" t="s">
        <v>359</v>
      </c>
      <c r="B89" s="100" t="s">
        <v>367</v>
      </c>
      <c r="C89" s="50" t="s">
        <v>710</v>
      </c>
      <c r="D89" s="103"/>
      <c r="E89" s="103">
        <v>6810</v>
      </c>
      <c r="F89" s="103"/>
      <c r="G89" s="102">
        <f t="shared" si="2"/>
        <v>71690</v>
      </c>
      <c r="H89" s="104"/>
    </row>
    <row r="90" spans="1:8" x14ac:dyDescent="0.3">
      <c r="A90" s="99"/>
      <c r="B90" s="100" t="s">
        <v>368</v>
      </c>
      <c r="C90" s="50" t="s">
        <v>709</v>
      </c>
      <c r="D90" s="103"/>
      <c r="E90" s="103">
        <v>5150</v>
      </c>
      <c r="F90" s="103"/>
      <c r="G90" s="102">
        <f t="shared" si="2"/>
        <v>66540</v>
      </c>
      <c r="H90" s="104"/>
    </row>
    <row r="91" spans="1:8" x14ac:dyDescent="0.3">
      <c r="A91" s="99" t="s">
        <v>638</v>
      </c>
      <c r="B91" s="100" t="s">
        <v>641</v>
      </c>
      <c r="C91" s="50" t="s">
        <v>708</v>
      </c>
      <c r="D91" s="103"/>
      <c r="E91" s="103">
        <v>2060</v>
      </c>
      <c r="F91" s="103"/>
      <c r="G91" s="102">
        <f t="shared" si="2"/>
        <v>64480</v>
      </c>
      <c r="H91" s="104"/>
    </row>
    <row r="92" spans="1:8" x14ac:dyDescent="0.3">
      <c r="A92" s="99" t="s">
        <v>642</v>
      </c>
      <c r="B92" s="100" t="s">
        <v>706</v>
      </c>
      <c r="C92" s="50" t="s">
        <v>705</v>
      </c>
      <c r="D92" s="103"/>
      <c r="E92" s="103">
        <v>1440</v>
      </c>
      <c r="F92" s="103"/>
      <c r="G92" s="102">
        <f t="shared" si="2"/>
        <v>63040</v>
      </c>
      <c r="H92" s="104"/>
    </row>
    <row r="93" spans="1:8" x14ac:dyDescent="0.3">
      <c r="A93" s="99"/>
      <c r="B93" s="100" t="s">
        <v>707</v>
      </c>
      <c r="C93" s="50" t="s">
        <v>711</v>
      </c>
      <c r="D93" s="103"/>
      <c r="E93" s="103">
        <v>2400</v>
      </c>
      <c r="F93" s="103"/>
      <c r="G93" s="102">
        <f t="shared" si="2"/>
        <v>60640</v>
      </c>
      <c r="H93" s="104"/>
    </row>
    <row r="94" spans="1:8" x14ac:dyDescent="0.3">
      <c r="A94" s="99"/>
      <c r="B94" s="100" t="s">
        <v>713</v>
      </c>
      <c r="C94" s="50" t="s">
        <v>712</v>
      </c>
      <c r="D94" s="103"/>
      <c r="E94" s="103">
        <v>7340</v>
      </c>
      <c r="F94" s="103"/>
      <c r="G94" s="102">
        <f t="shared" si="2"/>
        <v>53300</v>
      </c>
      <c r="H94" s="104"/>
    </row>
    <row r="95" spans="1:8" ht="18.75" x14ac:dyDescent="0.3">
      <c r="A95" s="99"/>
      <c r="B95" s="100"/>
      <c r="C95" s="50" t="s">
        <v>1481</v>
      </c>
      <c r="D95" s="103"/>
      <c r="E95" s="330">
        <v>-820</v>
      </c>
      <c r="F95" s="103"/>
      <c r="G95" s="102">
        <f t="shared" si="2"/>
        <v>54120</v>
      </c>
      <c r="H95" s="104"/>
    </row>
    <row r="96" spans="1:8" x14ac:dyDescent="0.3">
      <c r="A96" s="99" t="s">
        <v>792</v>
      </c>
      <c r="B96" s="100" t="s">
        <v>804</v>
      </c>
      <c r="C96" s="50" t="s">
        <v>805</v>
      </c>
      <c r="D96" s="261"/>
      <c r="E96" s="103">
        <v>1420</v>
      </c>
      <c r="F96" s="103"/>
      <c r="G96" s="102">
        <f t="shared" si="2"/>
        <v>52700</v>
      </c>
      <c r="H96" s="104"/>
    </row>
    <row r="97" spans="1:8" x14ac:dyDescent="0.3">
      <c r="A97" s="99" t="s">
        <v>795</v>
      </c>
      <c r="B97" s="100" t="s">
        <v>816</v>
      </c>
      <c r="C97" s="50" t="s">
        <v>817</v>
      </c>
      <c r="D97" s="261"/>
      <c r="E97" s="103">
        <v>1900</v>
      </c>
      <c r="F97" s="103"/>
      <c r="G97" s="102">
        <f t="shared" si="2"/>
        <v>50800</v>
      </c>
      <c r="H97" s="104"/>
    </row>
    <row r="98" spans="1:8" x14ac:dyDescent="0.3">
      <c r="A98" s="99" t="s">
        <v>818</v>
      </c>
      <c r="B98" s="100" t="s">
        <v>826</v>
      </c>
      <c r="C98" s="50" t="s">
        <v>825</v>
      </c>
      <c r="D98" s="261"/>
      <c r="E98" s="103">
        <v>1880</v>
      </c>
      <c r="F98" s="103"/>
      <c r="G98" s="102">
        <f t="shared" si="2"/>
        <v>48920</v>
      </c>
      <c r="H98" s="104"/>
    </row>
    <row r="99" spans="1:8" x14ac:dyDescent="0.3">
      <c r="A99" s="99"/>
      <c r="B99" s="100" t="s">
        <v>1502</v>
      </c>
      <c r="C99" s="50" t="s">
        <v>828</v>
      </c>
      <c r="D99" s="261"/>
      <c r="E99" s="103">
        <v>5510</v>
      </c>
      <c r="F99" s="103"/>
      <c r="G99" s="102">
        <f t="shared" si="2"/>
        <v>43410</v>
      </c>
      <c r="H99" s="104"/>
    </row>
    <row r="100" spans="1:8" x14ac:dyDescent="0.3">
      <c r="A100" s="99" t="s">
        <v>818</v>
      </c>
      <c r="B100" s="100"/>
      <c r="C100" s="50" t="s">
        <v>776</v>
      </c>
      <c r="D100" s="261">
        <v>-10000</v>
      </c>
      <c r="E100" s="103"/>
      <c r="F100" s="103"/>
      <c r="G100" s="102">
        <f>G99+D100</f>
        <v>33410</v>
      </c>
      <c r="H100" s="104"/>
    </row>
    <row r="101" spans="1:8" x14ac:dyDescent="0.3">
      <c r="A101" s="99" t="s">
        <v>969</v>
      </c>
      <c r="B101" s="100" t="s">
        <v>972</v>
      </c>
      <c r="C101" s="50" t="s">
        <v>973</v>
      </c>
      <c r="D101" s="261"/>
      <c r="E101" s="103">
        <v>5385</v>
      </c>
      <c r="F101" s="103"/>
      <c r="G101" s="102">
        <f t="shared" ref="G101:G110" si="3">G100-E101</f>
        <v>28025</v>
      </c>
      <c r="H101" s="104"/>
    </row>
    <row r="102" spans="1:8" x14ac:dyDescent="0.3">
      <c r="A102" s="99"/>
      <c r="B102" s="100" t="s">
        <v>977</v>
      </c>
      <c r="C102" s="50" t="s">
        <v>976</v>
      </c>
      <c r="D102" s="261"/>
      <c r="E102" s="103">
        <v>1106</v>
      </c>
      <c r="F102" s="103"/>
      <c r="G102" s="102">
        <f t="shared" si="3"/>
        <v>26919</v>
      </c>
      <c r="H102" s="104"/>
    </row>
    <row r="103" spans="1:8" x14ac:dyDescent="0.3">
      <c r="A103" s="99"/>
      <c r="B103" s="100" t="s">
        <v>979</v>
      </c>
      <c r="C103" s="50" t="s">
        <v>980</v>
      </c>
      <c r="D103" s="261"/>
      <c r="E103" s="103">
        <v>1500</v>
      </c>
      <c r="F103" s="103"/>
      <c r="G103" s="102">
        <f t="shared" si="3"/>
        <v>25419</v>
      </c>
      <c r="H103" s="104"/>
    </row>
    <row r="104" spans="1:8" x14ac:dyDescent="0.3">
      <c r="A104" s="99" t="s">
        <v>988</v>
      </c>
      <c r="B104" s="100" t="s">
        <v>992</v>
      </c>
      <c r="C104" s="50" t="s">
        <v>993</v>
      </c>
      <c r="D104" s="261"/>
      <c r="E104" s="103">
        <v>2976</v>
      </c>
      <c r="F104" s="103"/>
      <c r="G104" s="102">
        <f t="shared" si="3"/>
        <v>22443</v>
      </c>
      <c r="H104" s="104"/>
    </row>
    <row r="105" spans="1:8" x14ac:dyDescent="0.3">
      <c r="A105" s="99"/>
      <c r="B105" s="100" t="s">
        <v>995</v>
      </c>
      <c r="C105" s="50" t="s">
        <v>996</v>
      </c>
      <c r="D105" s="261"/>
      <c r="E105" s="103">
        <v>2000</v>
      </c>
      <c r="F105" s="103"/>
      <c r="G105" s="102">
        <f t="shared" si="3"/>
        <v>20443</v>
      </c>
      <c r="H105" s="104"/>
    </row>
    <row r="106" spans="1:8" x14ac:dyDescent="0.3">
      <c r="A106" s="99" t="s">
        <v>1030</v>
      </c>
      <c r="B106" s="100" t="s">
        <v>1031</v>
      </c>
      <c r="C106" s="50" t="s">
        <v>1032</v>
      </c>
      <c r="D106" s="261"/>
      <c r="E106" s="103">
        <v>2258</v>
      </c>
      <c r="F106" s="103"/>
      <c r="G106" s="102">
        <f t="shared" si="3"/>
        <v>18185</v>
      </c>
      <c r="H106" s="104"/>
    </row>
    <row r="107" spans="1:8" x14ac:dyDescent="0.3">
      <c r="A107" s="99" t="s">
        <v>1003</v>
      </c>
      <c r="B107" s="100" t="s">
        <v>1504</v>
      </c>
      <c r="C107" s="50" t="s">
        <v>1505</v>
      </c>
      <c r="D107" s="261"/>
      <c r="E107" s="103">
        <v>2000</v>
      </c>
      <c r="F107" s="103"/>
      <c r="G107" s="102">
        <f t="shared" si="3"/>
        <v>16185</v>
      </c>
      <c r="H107" s="104"/>
    </row>
    <row r="108" spans="1:8" x14ac:dyDescent="0.3">
      <c r="A108" s="99" t="s">
        <v>1075</v>
      </c>
      <c r="B108" s="100" t="s">
        <v>1070</v>
      </c>
      <c r="C108" s="50" t="s">
        <v>1071</v>
      </c>
      <c r="D108" s="261"/>
      <c r="E108" s="103">
        <v>1800</v>
      </c>
      <c r="F108" s="103"/>
      <c r="G108" s="102">
        <f t="shared" si="3"/>
        <v>14385</v>
      </c>
      <c r="H108" s="104"/>
    </row>
    <row r="109" spans="1:8" x14ac:dyDescent="0.3">
      <c r="A109" s="99" t="s">
        <v>1066</v>
      </c>
      <c r="B109" s="100" t="s">
        <v>1074</v>
      </c>
      <c r="C109" s="50" t="s">
        <v>996</v>
      </c>
      <c r="D109" s="261"/>
      <c r="E109" s="103">
        <v>3450</v>
      </c>
      <c r="F109" s="103"/>
      <c r="G109" s="102">
        <f t="shared" si="3"/>
        <v>10935</v>
      </c>
      <c r="H109" s="104"/>
    </row>
    <row r="110" spans="1:8" x14ac:dyDescent="0.3">
      <c r="A110" s="99" t="s">
        <v>1130</v>
      </c>
      <c r="B110" s="100" t="s">
        <v>1131</v>
      </c>
      <c r="C110" s="50" t="s">
        <v>1132</v>
      </c>
      <c r="D110" s="261"/>
      <c r="E110" s="103">
        <v>2586</v>
      </c>
      <c r="F110" s="103"/>
      <c r="G110" s="102">
        <f t="shared" si="3"/>
        <v>8349</v>
      </c>
      <c r="H110" s="104"/>
    </row>
    <row r="111" spans="1:8" x14ac:dyDescent="0.3">
      <c r="A111" s="145" t="s">
        <v>1222</v>
      </c>
      <c r="B111" s="107"/>
      <c r="C111" s="50" t="s">
        <v>1229</v>
      </c>
      <c r="D111" s="261">
        <v>10000</v>
      </c>
      <c r="E111" s="103"/>
      <c r="F111" s="103"/>
      <c r="G111" s="102">
        <f>G110+D111</f>
        <v>18349</v>
      </c>
      <c r="H111" s="104"/>
    </row>
    <row r="112" spans="1:8" x14ac:dyDescent="0.3">
      <c r="A112" s="145" t="s">
        <v>1338</v>
      </c>
      <c r="B112" s="107" t="s">
        <v>1379</v>
      </c>
      <c r="C112" s="50" t="s">
        <v>1396</v>
      </c>
      <c r="D112" s="261"/>
      <c r="E112" s="103">
        <v>1000</v>
      </c>
      <c r="F112" s="103"/>
      <c r="G112" s="102">
        <f>G111-E112</f>
        <v>17349</v>
      </c>
      <c r="H112" s="104"/>
    </row>
    <row r="113" spans="1:8" x14ac:dyDescent="0.3">
      <c r="A113" s="145" t="s">
        <v>1351</v>
      </c>
      <c r="B113" s="107" t="s">
        <v>1392</v>
      </c>
      <c r="C113" s="50" t="s">
        <v>1458</v>
      </c>
      <c r="D113" s="261"/>
      <c r="E113" s="103">
        <v>1790</v>
      </c>
      <c r="F113" s="103"/>
      <c r="G113" s="102">
        <f t="shared" ref="G113:G122" si="4">G112-E113</f>
        <v>15559</v>
      </c>
      <c r="H113" s="104"/>
    </row>
    <row r="114" spans="1:8" x14ac:dyDescent="0.3">
      <c r="A114" s="145"/>
      <c r="B114" s="107"/>
      <c r="C114" s="50" t="s">
        <v>1397</v>
      </c>
      <c r="D114" s="261"/>
      <c r="E114" s="103">
        <v>1650</v>
      </c>
      <c r="F114" s="103"/>
      <c r="G114" s="102">
        <f t="shared" si="4"/>
        <v>13909</v>
      </c>
      <c r="H114" s="104"/>
    </row>
    <row r="115" spans="1:8" x14ac:dyDescent="0.3">
      <c r="A115" s="145" t="s">
        <v>1455</v>
      </c>
      <c r="B115" s="107" t="s">
        <v>1459</v>
      </c>
      <c r="C115" s="50" t="s">
        <v>1032</v>
      </c>
      <c r="D115" s="261"/>
      <c r="E115" s="103">
        <v>2240</v>
      </c>
      <c r="F115" s="103"/>
      <c r="G115" s="102">
        <f t="shared" si="4"/>
        <v>11669</v>
      </c>
      <c r="H115" s="104"/>
    </row>
    <row r="116" spans="1:8" x14ac:dyDescent="0.3">
      <c r="A116" s="145" t="s">
        <v>1455</v>
      </c>
      <c r="B116" s="107" t="s">
        <v>1460</v>
      </c>
      <c r="C116" s="50" t="s">
        <v>1461</v>
      </c>
      <c r="D116" s="261"/>
      <c r="E116" s="103">
        <v>2588</v>
      </c>
      <c r="F116" s="103"/>
      <c r="G116" s="102">
        <f t="shared" si="4"/>
        <v>9081</v>
      </c>
      <c r="H116" s="104"/>
    </row>
    <row r="117" spans="1:8" ht="18.75" x14ac:dyDescent="0.3">
      <c r="A117" s="145"/>
      <c r="B117" s="107"/>
      <c r="C117" s="50" t="s">
        <v>1503</v>
      </c>
      <c r="D117" s="261"/>
      <c r="E117" s="330">
        <v>-1980</v>
      </c>
      <c r="F117" s="103"/>
      <c r="G117" s="102">
        <f t="shared" si="4"/>
        <v>11061</v>
      </c>
      <c r="H117" s="104"/>
    </row>
    <row r="118" spans="1:8" ht="18.75" x14ac:dyDescent="0.3">
      <c r="A118" s="145" t="s">
        <v>1492</v>
      </c>
      <c r="B118" s="107" t="s">
        <v>1506</v>
      </c>
      <c r="C118" s="50" t="s">
        <v>973</v>
      </c>
      <c r="D118" s="261"/>
      <c r="E118" s="330">
        <v>3880</v>
      </c>
      <c r="F118" s="103"/>
      <c r="G118" s="102">
        <f t="shared" si="4"/>
        <v>7181</v>
      </c>
      <c r="H118" s="104"/>
    </row>
    <row r="119" spans="1:8" ht="18.75" x14ac:dyDescent="0.3">
      <c r="A119" s="145" t="s">
        <v>1520</v>
      </c>
      <c r="B119" s="107" t="s">
        <v>1523</v>
      </c>
      <c r="C119" s="50" t="s">
        <v>1522</v>
      </c>
      <c r="D119" s="261"/>
      <c r="E119" s="330">
        <v>5120</v>
      </c>
      <c r="F119" s="103"/>
      <c r="G119" s="102">
        <f t="shared" si="4"/>
        <v>2061</v>
      </c>
      <c r="H119" s="104"/>
    </row>
    <row r="120" spans="1:8" ht="18.75" x14ac:dyDescent="0.3">
      <c r="A120" s="145"/>
      <c r="B120" s="107" t="s">
        <v>1557</v>
      </c>
      <c r="C120" s="50" t="s">
        <v>1556</v>
      </c>
      <c r="D120" s="261"/>
      <c r="E120" s="330">
        <v>1520</v>
      </c>
      <c r="F120" s="103"/>
      <c r="G120" s="102">
        <f t="shared" si="4"/>
        <v>541</v>
      </c>
      <c r="H120" s="104"/>
    </row>
    <row r="121" spans="1:8" ht="18.75" x14ac:dyDescent="0.3">
      <c r="A121" s="145"/>
      <c r="B121" s="107" t="s">
        <v>1559</v>
      </c>
      <c r="C121" s="50" t="s">
        <v>1558</v>
      </c>
      <c r="D121" s="261"/>
      <c r="E121" s="330">
        <v>2024</v>
      </c>
      <c r="F121" s="103"/>
      <c r="G121" s="102">
        <f t="shared" si="4"/>
        <v>-1483</v>
      </c>
      <c r="H121" s="104"/>
    </row>
    <row r="122" spans="1:8" ht="18.75" x14ac:dyDescent="0.3">
      <c r="A122" s="145"/>
      <c r="B122" s="107" t="s">
        <v>1563</v>
      </c>
      <c r="C122" s="50" t="s">
        <v>1071</v>
      </c>
      <c r="D122" s="261"/>
      <c r="E122" s="330">
        <v>1510</v>
      </c>
      <c r="F122" s="103"/>
      <c r="G122" s="102">
        <f t="shared" si="4"/>
        <v>-2993</v>
      </c>
      <c r="H122" s="104"/>
    </row>
    <row r="123" spans="1:8" ht="18.75" x14ac:dyDescent="0.3">
      <c r="A123" s="145"/>
      <c r="B123" s="107"/>
      <c r="C123" s="50"/>
      <c r="D123" s="261"/>
      <c r="E123" s="330"/>
      <c r="F123" s="103"/>
      <c r="G123" s="102"/>
      <c r="H123" s="104"/>
    </row>
    <row r="124" spans="1:8" x14ac:dyDescent="0.3">
      <c r="A124" s="99"/>
      <c r="B124" s="100"/>
      <c r="C124" s="84" t="s">
        <v>120</v>
      </c>
      <c r="D124" s="103">
        <v>20000</v>
      </c>
      <c r="E124" s="103"/>
      <c r="F124" s="103"/>
      <c r="G124" s="102">
        <f>D124</f>
        <v>20000</v>
      </c>
      <c r="H124" s="104"/>
    </row>
    <row r="125" spans="1:8" x14ac:dyDescent="0.3">
      <c r="A125" s="99"/>
      <c r="B125" s="100"/>
      <c r="C125" s="50" t="s">
        <v>778</v>
      </c>
      <c r="D125" s="103">
        <v>-5000</v>
      </c>
      <c r="E125" s="103"/>
      <c r="F125" s="103"/>
      <c r="G125" s="102">
        <f>G124+D125</f>
        <v>15000</v>
      </c>
      <c r="H125" s="104"/>
    </row>
    <row r="126" spans="1:8" x14ac:dyDescent="0.3">
      <c r="A126" s="99" t="s">
        <v>818</v>
      </c>
      <c r="B126" s="100"/>
      <c r="C126" s="50" t="s">
        <v>864</v>
      </c>
      <c r="D126" s="103">
        <v>-5000</v>
      </c>
      <c r="E126" s="103"/>
      <c r="F126" s="103"/>
      <c r="G126" s="102">
        <f>G125+D126</f>
        <v>10000</v>
      </c>
      <c r="H126" s="104"/>
    </row>
    <row r="127" spans="1:8" x14ac:dyDescent="0.3">
      <c r="A127" s="99" t="s">
        <v>818</v>
      </c>
      <c r="B127" s="100"/>
      <c r="C127" s="50" t="s">
        <v>778</v>
      </c>
      <c r="D127" s="103">
        <v>-5000</v>
      </c>
      <c r="E127" s="103"/>
      <c r="F127" s="103"/>
      <c r="G127" s="102">
        <f>G126+D127</f>
        <v>5000</v>
      </c>
      <c r="H127" s="104"/>
    </row>
    <row r="128" spans="1:8" x14ac:dyDescent="0.3">
      <c r="A128" s="99"/>
      <c r="B128" s="100"/>
      <c r="C128" s="50"/>
      <c r="D128" s="103"/>
      <c r="E128" s="103"/>
      <c r="F128" s="103"/>
      <c r="G128" s="102"/>
      <c r="H128" s="104"/>
    </row>
    <row r="129" spans="1:8" x14ac:dyDescent="0.3">
      <c r="A129" s="99"/>
      <c r="B129" s="100"/>
      <c r="C129" s="84" t="s">
        <v>121</v>
      </c>
      <c r="D129" s="103">
        <v>30000</v>
      </c>
      <c r="E129" s="103"/>
      <c r="F129" s="103"/>
      <c r="G129" s="102">
        <f>D129</f>
        <v>30000</v>
      </c>
      <c r="H129" s="104"/>
    </row>
    <row r="130" spans="1:8" x14ac:dyDescent="0.3">
      <c r="A130" s="99" t="s">
        <v>179</v>
      </c>
      <c r="B130" s="100" t="s">
        <v>226</v>
      </c>
      <c r="C130" s="50" t="s">
        <v>227</v>
      </c>
      <c r="D130" s="103"/>
      <c r="E130" s="103">
        <v>5756.5</v>
      </c>
      <c r="F130" s="103"/>
      <c r="G130" s="102">
        <f>G129-E130</f>
        <v>24243.5</v>
      </c>
      <c r="H130" s="104"/>
    </row>
    <row r="131" spans="1:8" x14ac:dyDescent="0.3">
      <c r="A131" s="99" t="s">
        <v>320</v>
      </c>
      <c r="B131" s="100" t="s">
        <v>328</v>
      </c>
      <c r="C131" s="50" t="s">
        <v>329</v>
      </c>
      <c r="D131" s="103"/>
      <c r="E131" s="103">
        <v>8755</v>
      </c>
      <c r="F131" s="103"/>
      <c r="G131" s="102">
        <f>G130-E131</f>
        <v>15488.5</v>
      </c>
      <c r="H131" s="104"/>
    </row>
    <row r="132" spans="1:8" x14ac:dyDescent="0.3">
      <c r="A132" s="99" t="s">
        <v>667</v>
      </c>
      <c r="B132" s="100" t="s">
        <v>683</v>
      </c>
      <c r="C132" s="50" t="s">
        <v>682</v>
      </c>
      <c r="D132" s="103"/>
      <c r="E132" s="103">
        <v>2755</v>
      </c>
      <c r="F132" s="103"/>
      <c r="G132" s="102">
        <f>G131-E132</f>
        <v>12733.5</v>
      </c>
      <c r="H132" s="104"/>
    </row>
    <row r="133" spans="1:8" x14ac:dyDescent="0.3">
      <c r="A133" s="99" t="s">
        <v>860</v>
      </c>
      <c r="B133" s="100" t="s">
        <v>861</v>
      </c>
      <c r="C133" s="50" t="s">
        <v>859</v>
      </c>
      <c r="D133" s="261"/>
      <c r="E133" s="103">
        <v>1634</v>
      </c>
      <c r="F133" s="103"/>
      <c r="G133" s="102">
        <f>G132-E133</f>
        <v>11099.5</v>
      </c>
      <c r="H133" s="104"/>
    </row>
    <row r="134" spans="1:8" x14ac:dyDescent="0.3">
      <c r="A134" s="99" t="s">
        <v>1072</v>
      </c>
      <c r="B134" s="100" t="s">
        <v>1073</v>
      </c>
      <c r="C134" s="50" t="s">
        <v>1001</v>
      </c>
      <c r="D134" s="261"/>
      <c r="E134" s="103">
        <v>4397.5</v>
      </c>
      <c r="F134" s="103"/>
      <c r="G134" s="102">
        <f>G133-E134</f>
        <v>6702</v>
      </c>
      <c r="H134" s="104"/>
    </row>
    <row r="135" spans="1:8" x14ac:dyDescent="0.3">
      <c r="A135" s="99" t="s">
        <v>1164</v>
      </c>
      <c r="B135" s="100" t="s">
        <v>1310</v>
      </c>
      <c r="C135" s="50" t="s">
        <v>1309</v>
      </c>
      <c r="D135" s="261">
        <v>5000</v>
      </c>
      <c r="E135" s="103">
        <v>10428</v>
      </c>
      <c r="F135" s="103"/>
      <c r="G135" s="102">
        <f>G134+D135-E135</f>
        <v>1274</v>
      </c>
      <c r="H135" s="104"/>
    </row>
    <row r="136" spans="1:8" x14ac:dyDescent="0.3">
      <c r="A136" s="145" t="s">
        <v>1222</v>
      </c>
      <c r="B136" s="107"/>
      <c r="C136" s="50" t="s">
        <v>1229</v>
      </c>
      <c r="D136" s="261">
        <v>20000</v>
      </c>
      <c r="E136" s="103"/>
      <c r="F136" s="103"/>
      <c r="G136" s="102">
        <f>G135+D136</f>
        <v>21274</v>
      </c>
      <c r="H136" s="104"/>
    </row>
    <row r="137" spans="1:8" x14ac:dyDescent="0.3">
      <c r="A137" s="145" t="s">
        <v>1338</v>
      </c>
      <c r="B137" s="107" t="s">
        <v>1380</v>
      </c>
      <c r="C137" s="50" t="s">
        <v>1381</v>
      </c>
      <c r="D137" s="261"/>
      <c r="E137" s="103">
        <v>3696.5</v>
      </c>
      <c r="F137" s="103"/>
      <c r="G137" s="102">
        <f>G136-E137</f>
        <v>17577.5</v>
      </c>
      <c r="H137" s="104"/>
    </row>
    <row r="138" spans="1:8" x14ac:dyDescent="0.3">
      <c r="A138" s="145"/>
      <c r="B138" s="107" t="s">
        <v>1568</v>
      </c>
      <c r="C138" s="50" t="s">
        <v>1454</v>
      </c>
      <c r="D138" s="261"/>
      <c r="E138" s="103">
        <v>3098</v>
      </c>
      <c r="F138" s="103"/>
      <c r="G138" s="102">
        <f>G137-E138</f>
        <v>14479.5</v>
      </c>
      <c r="H138" s="104"/>
    </row>
    <row r="139" spans="1:8" x14ac:dyDescent="0.3">
      <c r="A139" s="145"/>
      <c r="B139" s="107"/>
      <c r="C139" s="50"/>
      <c r="D139" s="261"/>
      <c r="E139" s="103"/>
      <c r="F139" s="103"/>
      <c r="G139" s="102"/>
      <c r="H139" s="104"/>
    </row>
    <row r="140" spans="1:8" x14ac:dyDescent="0.3">
      <c r="A140" s="99"/>
      <c r="B140" s="100"/>
      <c r="C140" s="84" t="s">
        <v>122</v>
      </c>
      <c r="D140" s="103">
        <v>6000</v>
      </c>
      <c r="E140" s="103"/>
      <c r="F140" s="103"/>
      <c r="G140" s="102">
        <f>D140</f>
        <v>6000</v>
      </c>
      <c r="H140" s="104"/>
    </row>
    <row r="141" spans="1:8" x14ac:dyDescent="0.3">
      <c r="A141" s="99" t="s">
        <v>834</v>
      </c>
      <c r="B141" s="100" t="s">
        <v>842</v>
      </c>
      <c r="C141" s="50" t="s">
        <v>843</v>
      </c>
      <c r="D141" s="103"/>
      <c r="E141" s="103">
        <v>5374.61</v>
      </c>
      <c r="F141" s="103"/>
      <c r="G141" s="102">
        <f>G140-E141</f>
        <v>625.39000000000033</v>
      </c>
      <c r="H141" s="104"/>
    </row>
    <row r="142" spans="1:8" x14ac:dyDescent="0.3">
      <c r="A142" s="99"/>
      <c r="B142" s="100"/>
      <c r="C142" s="50"/>
      <c r="D142" s="103"/>
      <c r="E142" s="103"/>
      <c r="F142" s="103"/>
      <c r="G142" s="102"/>
      <c r="H142" s="104"/>
    </row>
    <row r="143" spans="1:8" x14ac:dyDescent="0.3">
      <c r="A143" s="99"/>
      <c r="B143" s="100"/>
      <c r="C143" s="84" t="s">
        <v>342</v>
      </c>
      <c r="D143" s="103">
        <v>9000</v>
      </c>
      <c r="E143" s="103"/>
      <c r="F143" s="103"/>
      <c r="G143" s="102">
        <f>D143</f>
        <v>9000</v>
      </c>
      <c r="H143" s="104"/>
    </row>
    <row r="144" spans="1:8" x14ac:dyDescent="0.3">
      <c r="A144" s="99" t="s">
        <v>338</v>
      </c>
      <c r="B144" s="100" t="s">
        <v>340</v>
      </c>
      <c r="C144" s="50" t="s">
        <v>341</v>
      </c>
      <c r="D144" s="103"/>
      <c r="E144" s="103">
        <v>7200</v>
      </c>
      <c r="F144" s="103"/>
      <c r="G144" s="108">
        <f>G143-E144</f>
        <v>1800</v>
      </c>
      <c r="H144" s="106"/>
    </row>
    <row r="145" spans="1:8" x14ac:dyDescent="0.3">
      <c r="A145" s="99" t="s">
        <v>622</v>
      </c>
      <c r="B145" s="100"/>
      <c r="C145" s="50" t="s">
        <v>772</v>
      </c>
      <c r="D145" s="103">
        <v>20000</v>
      </c>
      <c r="E145" s="103"/>
      <c r="F145" s="103"/>
      <c r="G145" s="108">
        <f>G144+D145</f>
        <v>21800</v>
      </c>
      <c r="H145" s="106"/>
    </row>
    <row r="146" spans="1:8" x14ac:dyDescent="0.3">
      <c r="A146" s="99" t="s">
        <v>738</v>
      </c>
      <c r="B146" s="100" t="s">
        <v>737</v>
      </c>
      <c r="C146" s="50" t="s">
        <v>739</v>
      </c>
      <c r="D146" s="103"/>
      <c r="E146" s="103">
        <v>7200</v>
      </c>
      <c r="F146" s="103"/>
      <c r="G146" s="108">
        <f>G145-E146</f>
        <v>14600</v>
      </c>
      <c r="H146" s="106" t="s">
        <v>740</v>
      </c>
    </row>
    <row r="147" spans="1:8" x14ac:dyDescent="0.3">
      <c r="A147" s="99" t="s">
        <v>741</v>
      </c>
      <c r="B147" s="100"/>
      <c r="C147" s="84" t="s">
        <v>773</v>
      </c>
      <c r="D147" s="261">
        <v>100000</v>
      </c>
      <c r="E147" s="103"/>
      <c r="F147" s="103"/>
      <c r="G147" s="108">
        <f>G146+D147</f>
        <v>114600</v>
      </c>
      <c r="H147" s="106"/>
    </row>
    <row r="148" spans="1:8" x14ac:dyDescent="0.3">
      <c r="A148" s="99"/>
      <c r="B148" s="100" t="s">
        <v>748</v>
      </c>
      <c r="C148" s="50" t="s">
        <v>749</v>
      </c>
      <c r="D148" s="261"/>
      <c r="E148" s="103">
        <v>2593</v>
      </c>
      <c r="F148" s="103"/>
      <c r="G148" s="108">
        <f>G147-E148</f>
        <v>112007</v>
      </c>
      <c r="H148" s="206" t="s">
        <v>1217</v>
      </c>
    </row>
    <row r="149" spans="1:8" x14ac:dyDescent="0.3">
      <c r="A149" s="99" t="s">
        <v>948</v>
      </c>
      <c r="B149" s="100" t="s">
        <v>950</v>
      </c>
      <c r="C149" s="50" t="s">
        <v>951</v>
      </c>
      <c r="D149" s="261"/>
      <c r="E149" s="103">
        <v>260</v>
      </c>
      <c r="F149" s="103"/>
      <c r="G149" s="108">
        <f>G148-E149</f>
        <v>111747</v>
      </c>
      <c r="H149" s="106"/>
    </row>
    <row r="150" spans="1:8" x14ac:dyDescent="0.3">
      <c r="A150" s="99" t="s">
        <v>961</v>
      </c>
      <c r="B150" s="100"/>
      <c r="C150" s="50" t="s">
        <v>776</v>
      </c>
      <c r="D150" s="103">
        <v>-50000</v>
      </c>
      <c r="E150" s="103"/>
      <c r="F150" s="103"/>
      <c r="G150" s="108">
        <f>G149+D150</f>
        <v>61747</v>
      </c>
      <c r="H150" s="106"/>
    </row>
    <row r="151" spans="1:8" x14ac:dyDescent="0.3">
      <c r="A151" s="145" t="s">
        <v>1189</v>
      </c>
      <c r="B151" s="107"/>
      <c r="C151" s="50" t="s">
        <v>776</v>
      </c>
      <c r="D151" s="261">
        <v>-10000</v>
      </c>
      <c r="E151" s="103"/>
      <c r="F151" s="103"/>
      <c r="G151" s="108">
        <f>G150+D151</f>
        <v>51747</v>
      </c>
      <c r="H151" s="106"/>
    </row>
    <row r="152" spans="1:8" x14ac:dyDescent="0.3">
      <c r="A152" s="99" t="s">
        <v>1351</v>
      </c>
      <c r="B152" s="100" t="s">
        <v>1392</v>
      </c>
      <c r="C152" s="50" t="s">
        <v>1393</v>
      </c>
      <c r="D152" s="261"/>
      <c r="E152" s="103">
        <v>520</v>
      </c>
      <c r="F152" s="103"/>
      <c r="G152" s="108">
        <f>G151-E152</f>
        <v>51227</v>
      </c>
      <c r="H152" s="106"/>
    </row>
    <row r="153" spans="1:8" x14ac:dyDescent="0.3">
      <c r="A153" s="99" t="s">
        <v>1351</v>
      </c>
      <c r="B153" s="100" t="s">
        <v>1392</v>
      </c>
      <c r="C153" s="50" t="s">
        <v>1395</v>
      </c>
      <c r="D153" s="261"/>
      <c r="E153" s="103">
        <v>200</v>
      </c>
      <c r="F153" s="103"/>
      <c r="G153" s="108">
        <f>G152-E153</f>
        <v>51027</v>
      </c>
      <c r="H153" s="106"/>
    </row>
    <row r="154" spans="1:8" x14ac:dyDescent="0.3">
      <c r="A154" s="99"/>
      <c r="B154" s="107"/>
      <c r="C154" s="50"/>
      <c r="D154" s="261"/>
      <c r="E154" s="103"/>
      <c r="F154" s="103"/>
      <c r="G154" s="108"/>
      <c r="H154" s="106"/>
    </row>
    <row r="155" spans="1:8" x14ac:dyDescent="0.3">
      <c r="A155" s="145"/>
      <c r="B155" s="107"/>
      <c r="C155" s="50"/>
      <c r="D155" s="261"/>
      <c r="E155" s="103"/>
      <c r="F155" s="103"/>
      <c r="G155" s="108"/>
      <c r="H155" s="106"/>
    </row>
    <row r="156" spans="1:8" x14ac:dyDescent="0.3">
      <c r="A156" s="145"/>
      <c r="B156" s="107"/>
      <c r="C156" s="50"/>
      <c r="D156" s="109">
        <f>SUM(D7:D155)</f>
        <v>775500</v>
      </c>
      <c r="E156" s="109">
        <f>SUM(E7:E155)</f>
        <v>621221.6</v>
      </c>
      <c r="F156" s="109">
        <f>SUM(F7:F155)</f>
        <v>0</v>
      </c>
      <c r="G156" s="197">
        <f>D156-E156-F156</f>
        <v>154278.40000000002</v>
      </c>
      <c r="H156" s="110"/>
    </row>
    <row r="157" spans="1:8" x14ac:dyDescent="0.3">
      <c r="A157" s="99"/>
      <c r="B157" s="100"/>
      <c r="C157" s="262" t="s">
        <v>123</v>
      </c>
      <c r="D157" s="153"/>
      <c r="E157" s="153"/>
      <c r="F157" s="153"/>
      <c r="G157" s="196"/>
      <c r="H157" s="162"/>
    </row>
    <row r="158" spans="1:8" x14ac:dyDescent="0.3">
      <c r="A158" s="99"/>
      <c r="B158" s="100"/>
      <c r="C158" s="84" t="s">
        <v>127</v>
      </c>
      <c r="D158" s="261">
        <v>20000</v>
      </c>
      <c r="E158" s="103"/>
      <c r="F158" s="103"/>
      <c r="G158" s="102">
        <v>20000</v>
      </c>
      <c r="H158" s="104"/>
    </row>
    <row r="159" spans="1:8" x14ac:dyDescent="0.3">
      <c r="A159" s="99" t="s">
        <v>210</v>
      </c>
      <c r="B159" s="100" t="s">
        <v>216</v>
      </c>
      <c r="C159" s="50" t="s">
        <v>590</v>
      </c>
      <c r="D159" s="103"/>
      <c r="E159" s="103">
        <v>6630.47</v>
      </c>
      <c r="F159" s="103"/>
      <c r="G159" s="102">
        <f>G158-E159</f>
        <v>13369.529999999999</v>
      </c>
      <c r="H159" s="104"/>
    </row>
    <row r="160" spans="1:8" x14ac:dyDescent="0.3">
      <c r="A160" s="99"/>
      <c r="B160" s="100" t="s">
        <v>588</v>
      </c>
      <c r="C160" s="50" t="s">
        <v>589</v>
      </c>
      <c r="D160" s="103"/>
      <c r="E160" s="103">
        <v>3326.84</v>
      </c>
      <c r="F160" s="103"/>
      <c r="G160" s="102">
        <f>G159-E160</f>
        <v>10042.689999999999</v>
      </c>
      <c r="H160" s="104"/>
    </row>
    <row r="161" spans="1:8" x14ac:dyDescent="0.3">
      <c r="A161" s="99" t="s">
        <v>622</v>
      </c>
      <c r="B161" s="100" t="s">
        <v>629</v>
      </c>
      <c r="C161" s="50" t="s">
        <v>628</v>
      </c>
      <c r="D161" s="103"/>
      <c r="E161" s="103">
        <v>4580.67</v>
      </c>
      <c r="F161" s="103"/>
      <c r="G161" s="102">
        <f>G160-E161</f>
        <v>5462.0199999999986</v>
      </c>
      <c r="H161" s="104"/>
    </row>
    <row r="162" spans="1:8" x14ac:dyDescent="0.3">
      <c r="A162" s="99" t="s">
        <v>818</v>
      </c>
      <c r="B162" s="100"/>
      <c r="C162" s="84" t="s">
        <v>865</v>
      </c>
      <c r="D162" s="103">
        <v>5000</v>
      </c>
      <c r="E162" s="103"/>
      <c r="F162" s="103"/>
      <c r="G162" s="102">
        <f>G161+D162</f>
        <v>10462.019999999999</v>
      </c>
      <c r="H162" s="104"/>
    </row>
    <row r="163" spans="1:8" x14ac:dyDescent="0.3">
      <c r="A163" s="99" t="s">
        <v>860</v>
      </c>
      <c r="B163" s="100" t="s">
        <v>877</v>
      </c>
      <c r="C163" s="50" t="s">
        <v>891</v>
      </c>
      <c r="D163" s="103"/>
      <c r="E163" s="103">
        <v>5509.43</v>
      </c>
      <c r="F163" s="103"/>
      <c r="G163" s="102">
        <f>G162-E163</f>
        <v>4952.5899999999983</v>
      </c>
      <c r="H163" s="104"/>
    </row>
    <row r="164" spans="1:8" x14ac:dyDescent="0.3">
      <c r="A164" s="99" t="s">
        <v>1030</v>
      </c>
      <c r="B164" s="100"/>
      <c r="C164" s="50" t="s">
        <v>1151</v>
      </c>
      <c r="D164" s="103">
        <v>140</v>
      </c>
      <c r="E164" s="103"/>
      <c r="F164" s="103"/>
      <c r="G164" s="102">
        <f>G163+D164</f>
        <v>5092.5899999999983</v>
      </c>
      <c r="H164" s="104"/>
    </row>
    <row r="165" spans="1:8" x14ac:dyDescent="0.3">
      <c r="A165" s="99" t="s">
        <v>1030</v>
      </c>
      <c r="B165" s="100" t="s">
        <v>1152</v>
      </c>
      <c r="C165" s="50" t="s">
        <v>1149</v>
      </c>
      <c r="D165" s="103"/>
      <c r="E165" s="103">
        <v>5091.49</v>
      </c>
      <c r="F165" s="103"/>
      <c r="G165" s="102">
        <f>G164-E165</f>
        <v>1.0999999999985448</v>
      </c>
      <c r="H165" s="104"/>
    </row>
    <row r="166" spans="1:8" x14ac:dyDescent="0.3">
      <c r="A166" s="99" t="s">
        <v>1189</v>
      </c>
      <c r="B166" s="100"/>
      <c r="C166" s="50" t="s">
        <v>1193</v>
      </c>
      <c r="D166" s="103">
        <v>4500</v>
      </c>
      <c r="E166" s="103"/>
      <c r="F166" s="103"/>
      <c r="G166" s="102">
        <f>G165+D166</f>
        <v>4501.0999999999985</v>
      </c>
      <c r="H166" s="104"/>
    </row>
    <row r="167" spans="1:8" x14ac:dyDescent="0.3">
      <c r="A167" s="99" t="s">
        <v>1189</v>
      </c>
      <c r="B167" s="100" t="s">
        <v>1196</v>
      </c>
      <c r="C167" s="50" t="s">
        <v>1197</v>
      </c>
      <c r="D167" s="103"/>
      <c r="E167" s="103">
        <v>4464.58</v>
      </c>
      <c r="F167" s="103"/>
      <c r="G167" s="102">
        <f>G166-E167</f>
        <v>36.519999999998618</v>
      </c>
      <c r="H167" s="104"/>
    </row>
    <row r="168" spans="1:8" x14ac:dyDescent="0.3">
      <c r="A168" s="145" t="s">
        <v>1222</v>
      </c>
      <c r="B168" s="107"/>
      <c r="C168" s="50" t="s">
        <v>1229</v>
      </c>
      <c r="D168" s="261">
        <v>10000</v>
      </c>
      <c r="E168" s="103"/>
      <c r="F168" s="103"/>
      <c r="G168" s="102">
        <f>G167+D168</f>
        <v>10036.519999999999</v>
      </c>
      <c r="H168" s="104"/>
    </row>
    <row r="169" spans="1:8" x14ac:dyDescent="0.3">
      <c r="A169" s="145" t="s">
        <v>1401</v>
      </c>
      <c r="B169" s="107" t="s">
        <v>1403</v>
      </c>
      <c r="C169" s="50" t="s">
        <v>1404</v>
      </c>
      <c r="D169" s="261"/>
      <c r="E169" s="103">
        <v>3233.97</v>
      </c>
      <c r="F169" s="103"/>
      <c r="G169" s="102">
        <f>G168-E169</f>
        <v>6802.5499999999993</v>
      </c>
      <c r="H169" s="104"/>
    </row>
    <row r="170" spans="1:8" x14ac:dyDescent="0.3">
      <c r="A170" s="99" t="s">
        <v>1562</v>
      </c>
      <c r="B170" s="100" t="s">
        <v>1561</v>
      </c>
      <c r="C170" s="50" t="s">
        <v>1560</v>
      </c>
      <c r="D170" s="103"/>
      <c r="E170" s="103">
        <v>3164.31</v>
      </c>
      <c r="F170" s="103"/>
      <c r="G170" s="102">
        <f>G169-E170</f>
        <v>3638.2399999999993</v>
      </c>
      <c r="H170" s="104"/>
    </row>
    <row r="171" spans="1:8" x14ac:dyDescent="0.3">
      <c r="A171" s="99"/>
      <c r="B171" s="100"/>
      <c r="C171" s="50"/>
      <c r="D171" s="103"/>
      <c r="E171" s="103"/>
      <c r="F171" s="103"/>
      <c r="G171" s="102"/>
      <c r="H171" s="104"/>
    </row>
    <row r="172" spans="1:8" x14ac:dyDescent="0.3">
      <c r="A172" s="99"/>
      <c r="B172" s="100"/>
      <c r="C172" s="84" t="s">
        <v>115</v>
      </c>
      <c r="D172" s="261">
        <v>200000</v>
      </c>
      <c r="E172" s="103"/>
      <c r="F172" s="103"/>
      <c r="G172" s="102">
        <f>D172</f>
        <v>200000</v>
      </c>
      <c r="H172" s="104"/>
    </row>
    <row r="173" spans="1:8" x14ac:dyDescent="0.3">
      <c r="A173" s="99" t="s">
        <v>194</v>
      </c>
      <c r="B173" s="100" t="s">
        <v>206</v>
      </c>
      <c r="C173" s="50" t="s">
        <v>207</v>
      </c>
      <c r="D173" s="103"/>
      <c r="E173" s="103">
        <v>76808.87</v>
      </c>
      <c r="F173" s="103"/>
      <c r="G173" s="102">
        <f>G172-E173</f>
        <v>123191.13</v>
      </c>
      <c r="H173" s="104"/>
    </row>
    <row r="174" spans="1:8" x14ac:dyDescent="0.3">
      <c r="A174" s="99" t="s">
        <v>735</v>
      </c>
      <c r="B174" s="100" t="s">
        <v>314</v>
      </c>
      <c r="C174" s="50" t="s">
        <v>315</v>
      </c>
      <c r="D174" s="103"/>
      <c r="E174" s="103">
        <v>83224.399999999994</v>
      </c>
      <c r="F174" s="103"/>
      <c r="G174" s="102">
        <f>G173-E174</f>
        <v>39966.73000000001</v>
      </c>
      <c r="H174" s="104"/>
    </row>
    <row r="175" spans="1:8" x14ac:dyDescent="0.3">
      <c r="A175" s="99" t="s">
        <v>622</v>
      </c>
      <c r="B175" s="100"/>
      <c r="C175" s="50" t="s">
        <v>774</v>
      </c>
      <c r="D175" s="103">
        <v>30000</v>
      </c>
      <c r="E175" s="103"/>
      <c r="F175" s="103"/>
      <c r="G175" s="102">
        <f>G174+D175</f>
        <v>69966.73000000001</v>
      </c>
      <c r="H175" s="104"/>
    </row>
    <row r="176" spans="1:8" x14ac:dyDescent="0.3">
      <c r="A176" s="99" t="s">
        <v>622</v>
      </c>
      <c r="B176" s="100" t="s">
        <v>627</v>
      </c>
      <c r="C176" s="50" t="s">
        <v>628</v>
      </c>
      <c r="D176" s="103"/>
      <c r="E176" s="103">
        <v>60274.67</v>
      </c>
      <c r="F176" s="103"/>
      <c r="G176" s="102">
        <f>G175-E176</f>
        <v>9692.0600000000122</v>
      </c>
      <c r="H176" s="104"/>
    </row>
    <row r="177" spans="1:8" x14ac:dyDescent="0.3">
      <c r="A177" s="99" t="s">
        <v>818</v>
      </c>
      <c r="B177" s="100"/>
      <c r="C177" s="50" t="s">
        <v>866</v>
      </c>
      <c r="D177" s="103">
        <v>120000</v>
      </c>
      <c r="E177" s="103"/>
      <c r="F177" s="103"/>
      <c r="G177" s="102">
        <f>G176+D177</f>
        <v>129692.06000000001</v>
      </c>
      <c r="H177" s="104"/>
    </row>
    <row r="178" spans="1:8" x14ac:dyDescent="0.3">
      <c r="A178" s="99" t="s">
        <v>860</v>
      </c>
      <c r="B178" s="100" t="s">
        <v>875</v>
      </c>
      <c r="C178" s="50" t="s">
        <v>876</v>
      </c>
      <c r="D178" s="103"/>
      <c r="E178" s="103">
        <v>51236.53</v>
      </c>
      <c r="F178" s="103"/>
      <c r="G178" s="102">
        <f>G177-E178</f>
        <v>78455.530000000013</v>
      </c>
      <c r="H178" s="104"/>
    </row>
    <row r="179" spans="1:8" x14ac:dyDescent="0.3">
      <c r="A179" s="99" t="s">
        <v>888</v>
      </c>
      <c r="B179" s="100"/>
      <c r="C179" s="50" t="s">
        <v>959</v>
      </c>
      <c r="D179" s="103">
        <v>-10000</v>
      </c>
      <c r="E179" s="103"/>
      <c r="F179" s="103"/>
      <c r="G179" s="102">
        <f>G178+D179</f>
        <v>68455.530000000013</v>
      </c>
      <c r="H179" s="104"/>
    </row>
    <row r="180" spans="1:8" x14ac:dyDescent="0.3">
      <c r="A180" s="99" t="s">
        <v>948</v>
      </c>
      <c r="B180" s="100"/>
      <c r="C180" s="50" t="s">
        <v>962</v>
      </c>
      <c r="D180" s="103">
        <v>50000</v>
      </c>
      <c r="E180" s="103"/>
      <c r="F180" s="103"/>
      <c r="G180" s="102">
        <f>G179+D180</f>
        <v>118455.53000000001</v>
      </c>
      <c r="H180" s="104"/>
    </row>
    <row r="181" spans="1:8" x14ac:dyDescent="0.3">
      <c r="A181" s="99" t="s">
        <v>988</v>
      </c>
      <c r="B181" s="100" t="s">
        <v>1000</v>
      </c>
      <c r="C181" s="50" t="s">
        <v>895</v>
      </c>
      <c r="D181" s="103"/>
      <c r="E181" s="103">
        <v>59862.47</v>
      </c>
      <c r="F181" s="103"/>
      <c r="G181" s="102">
        <f>G180-D181-E181</f>
        <v>58593.060000000012</v>
      </c>
      <c r="H181" s="104"/>
    </row>
    <row r="182" spans="1:8" x14ac:dyDescent="0.3">
      <c r="A182" s="99" t="s">
        <v>988</v>
      </c>
      <c r="B182" s="100"/>
      <c r="C182" s="50" t="s">
        <v>959</v>
      </c>
      <c r="D182" s="103">
        <v>-15000</v>
      </c>
      <c r="E182" s="103"/>
      <c r="F182" s="103"/>
      <c r="G182" s="102">
        <f>G181+D182</f>
        <v>43593.060000000012</v>
      </c>
      <c r="H182" s="104"/>
    </row>
    <row r="183" spans="1:8" x14ac:dyDescent="0.3">
      <c r="A183" s="99" t="s">
        <v>1189</v>
      </c>
      <c r="B183" s="100"/>
      <c r="C183" s="50" t="s">
        <v>1190</v>
      </c>
      <c r="D183" s="103">
        <v>43700</v>
      </c>
      <c r="E183" s="103"/>
      <c r="F183" s="103"/>
      <c r="G183" s="102">
        <f>G182+D183</f>
        <v>87293.060000000012</v>
      </c>
      <c r="H183" s="104"/>
    </row>
    <row r="184" spans="1:8" x14ac:dyDescent="0.3">
      <c r="A184" s="99" t="s">
        <v>1189</v>
      </c>
      <c r="B184" s="100" t="s">
        <v>1194</v>
      </c>
      <c r="C184" s="50" t="s">
        <v>1191</v>
      </c>
      <c r="D184" s="103"/>
      <c r="E184" s="103">
        <v>87263.82</v>
      </c>
      <c r="F184" s="103"/>
      <c r="G184" s="102">
        <f>G183-E184</f>
        <v>29.240000000005239</v>
      </c>
      <c r="H184" s="104"/>
    </row>
    <row r="185" spans="1:8" x14ac:dyDescent="0.3">
      <c r="A185" s="145" t="s">
        <v>1222</v>
      </c>
      <c r="B185" s="107"/>
      <c r="C185" s="50" t="s">
        <v>1229</v>
      </c>
      <c r="D185" s="261">
        <v>200000</v>
      </c>
      <c r="E185" s="103"/>
      <c r="F185" s="103"/>
      <c r="G185" s="102">
        <f>G184+D185</f>
        <v>200029.24</v>
      </c>
      <c r="H185" s="104"/>
    </row>
    <row r="186" spans="1:8" x14ac:dyDescent="0.3">
      <c r="A186" s="145" t="s">
        <v>1343</v>
      </c>
      <c r="B186" s="107" t="s">
        <v>1384</v>
      </c>
      <c r="C186" s="50" t="s">
        <v>1385</v>
      </c>
      <c r="D186" s="261"/>
      <c r="E186" s="103">
        <v>71830.559999999998</v>
      </c>
      <c r="F186" s="103"/>
      <c r="G186" s="102">
        <f>G185-E186</f>
        <v>128198.68</v>
      </c>
      <c r="H186" s="104"/>
    </row>
    <row r="187" spans="1:8" x14ac:dyDescent="0.3">
      <c r="A187" s="145"/>
      <c r="B187" s="107"/>
      <c r="C187" s="50"/>
      <c r="D187" s="261"/>
      <c r="E187" s="103"/>
      <c r="F187" s="103"/>
      <c r="G187" s="102"/>
      <c r="H187" s="104"/>
    </row>
    <row r="188" spans="1:8" x14ac:dyDescent="0.3">
      <c r="A188" s="145"/>
      <c r="B188" s="107"/>
      <c r="C188" s="50"/>
      <c r="D188" s="261"/>
      <c r="E188" s="103"/>
      <c r="F188" s="103"/>
      <c r="G188" s="102"/>
      <c r="H188" s="104"/>
    </row>
    <row r="189" spans="1:8" x14ac:dyDescent="0.3">
      <c r="A189" s="99"/>
      <c r="B189" s="100"/>
      <c r="C189" s="84" t="s">
        <v>116</v>
      </c>
      <c r="D189" s="261">
        <v>30000</v>
      </c>
      <c r="E189" s="103"/>
      <c r="F189" s="103"/>
      <c r="G189" s="102">
        <f>D189</f>
        <v>30000</v>
      </c>
      <c r="H189" s="104"/>
    </row>
    <row r="190" spans="1:8" x14ac:dyDescent="0.3">
      <c r="A190" s="99" t="s">
        <v>210</v>
      </c>
      <c r="B190" s="100" t="s">
        <v>217</v>
      </c>
      <c r="C190" s="50" t="s">
        <v>343</v>
      </c>
      <c r="D190" s="103"/>
      <c r="E190" s="103">
        <v>4863</v>
      </c>
      <c r="F190" s="103"/>
      <c r="G190" s="102">
        <f>G189-E190</f>
        <v>25137</v>
      </c>
      <c r="H190" s="104"/>
    </row>
    <row r="191" spans="1:8" x14ac:dyDescent="0.3">
      <c r="A191" s="99" t="s">
        <v>177</v>
      </c>
      <c r="B191" s="100" t="s">
        <v>345</v>
      </c>
      <c r="C191" s="50" t="s">
        <v>344</v>
      </c>
      <c r="D191" s="103"/>
      <c r="E191" s="103">
        <v>4290</v>
      </c>
      <c r="F191" s="103"/>
      <c r="G191" s="102">
        <f>G190-E191</f>
        <v>20847</v>
      </c>
      <c r="H191" s="104"/>
    </row>
    <row r="192" spans="1:8" x14ac:dyDescent="0.3">
      <c r="A192" s="99" t="s">
        <v>638</v>
      </c>
      <c r="B192" s="100" t="s">
        <v>637</v>
      </c>
      <c r="C192" s="50" t="s">
        <v>628</v>
      </c>
      <c r="D192" s="103"/>
      <c r="E192" s="103">
        <v>3084</v>
      </c>
      <c r="F192" s="103"/>
      <c r="G192" s="102">
        <f>G191-E192</f>
        <v>17763</v>
      </c>
      <c r="H192" s="104"/>
    </row>
    <row r="193" spans="1:8" x14ac:dyDescent="0.3">
      <c r="A193" s="99" t="s">
        <v>818</v>
      </c>
      <c r="B193" s="100"/>
      <c r="C193" s="50" t="s">
        <v>776</v>
      </c>
      <c r="D193" s="103">
        <v>-10000</v>
      </c>
      <c r="E193" s="103"/>
      <c r="F193" s="103"/>
      <c r="G193" s="102">
        <f>G192+D193</f>
        <v>7763</v>
      </c>
      <c r="H193" s="104"/>
    </row>
    <row r="194" spans="1:8" x14ac:dyDescent="0.3">
      <c r="A194" s="99" t="s">
        <v>888</v>
      </c>
      <c r="B194" s="100" t="s">
        <v>889</v>
      </c>
      <c r="C194" s="50" t="s">
        <v>891</v>
      </c>
      <c r="D194" s="103"/>
      <c r="E194" s="103">
        <v>16651</v>
      </c>
      <c r="F194" s="103"/>
      <c r="G194" s="102">
        <f>G193-E194</f>
        <v>-8888</v>
      </c>
      <c r="H194" s="104"/>
    </row>
    <row r="195" spans="1:8" x14ac:dyDescent="0.3">
      <c r="A195" s="99" t="s">
        <v>888</v>
      </c>
      <c r="B195" s="100"/>
      <c r="C195" s="50" t="s">
        <v>890</v>
      </c>
      <c r="D195" s="103">
        <v>10000</v>
      </c>
      <c r="E195" s="103"/>
      <c r="F195" s="103"/>
      <c r="G195" s="102">
        <f>G194+D195</f>
        <v>1112</v>
      </c>
      <c r="H195" s="104"/>
    </row>
    <row r="196" spans="1:8" x14ac:dyDescent="0.3">
      <c r="A196" s="99" t="s">
        <v>988</v>
      </c>
      <c r="B196" s="100"/>
      <c r="C196" s="50" t="s">
        <v>890</v>
      </c>
      <c r="D196" s="103">
        <v>15000</v>
      </c>
      <c r="E196" s="103"/>
      <c r="F196" s="103"/>
      <c r="G196" s="102">
        <f>G195+D196</f>
        <v>16112</v>
      </c>
      <c r="H196" s="104"/>
    </row>
    <row r="197" spans="1:8" x14ac:dyDescent="0.3">
      <c r="A197" s="99" t="s">
        <v>988</v>
      </c>
      <c r="B197" s="100" t="s">
        <v>1000</v>
      </c>
      <c r="C197" s="50" t="s">
        <v>1001</v>
      </c>
      <c r="D197" s="103"/>
      <c r="E197" s="103">
        <v>14826</v>
      </c>
      <c r="F197" s="103"/>
      <c r="G197" s="102">
        <f>G196-E197</f>
        <v>1286</v>
      </c>
      <c r="H197" s="104"/>
    </row>
    <row r="198" spans="1:8" x14ac:dyDescent="0.3">
      <c r="A198" s="99" t="s">
        <v>1189</v>
      </c>
      <c r="B198" s="100"/>
      <c r="C198" s="50" t="s">
        <v>1193</v>
      </c>
      <c r="D198" s="103">
        <v>1300</v>
      </c>
      <c r="E198" s="103"/>
      <c r="F198" s="103"/>
      <c r="G198" s="102">
        <f>G197+D198</f>
        <v>2586</v>
      </c>
      <c r="H198" s="104"/>
    </row>
    <row r="199" spans="1:8" x14ac:dyDescent="0.3">
      <c r="A199" s="99" t="s">
        <v>1189</v>
      </c>
      <c r="B199" s="100" t="s">
        <v>1192</v>
      </c>
      <c r="C199" s="50" t="s">
        <v>1195</v>
      </c>
      <c r="D199" s="103"/>
      <c r="E199" s="103">
        <v>2584</v>
      </c>
      <c r="F199" s="103"/>
      <c r="G199" s="102">
        <f>G198-E199</f>
        <v>2</v>
      </c>
      <c r="H199" s="104"/>
    </row>
    <row r="200" spans="1:8" x14ac:dyDescent="0.3">
      <c r="A200" s="145" t="s">
        <v>1222</v>
      </c>
      <c r="B200" s="107"/>
      <c r="C200" s="50" t="s">
        <v>1229</v>
      </c>
      <c r="D200" s="261">
        <v>10000</v>
      </c>
      <c r="E200" s="103"/>
      <c r="F200" s="103"/>
      <c r="G200" s="102">
        <f>G199+D200</f>
        <v>10002</v>
      </c>
      <c r="H200" s="104"/>
    </row>
    <row r="201" spans="1:8" x14ac:dyDescent="0.3">
      <c r="A201" s="145" t="s">
        <v>1433</v>
      </c>
      <c r="B201" s="107" t="s">
        <v>1439</v>
      </c>
      <c r="C201" s="50" t="s">
        <v>1440</v>
      </c>
      <c r="D201" s="261"/>
      <c r="E201" s="103">
        <v>2973</v>
      </c>
      <c r="F201" s="103"/>
      <c r="G201" s="102">
        <f>G200-E201</f>
        <v>7029</v>
      </c>
      <c r="H201" s="104"/>
    </row>
    <row r="202" spans="1:8" x14ac:dyDescent="0.3">
      <c r="A202" s="145"/>
      <c r="B202" s="107"/>
      <c r="C202" s="50"/>
      <c r="D202" s="261"/>
      <c r="E202" s="103"/>
      <c r="F202" s="103"/>
      <c r="G202" s="102"/>
      <c r="H202" s="104"/>
    </row>
    <row r="203" spans="1:8" x14ac:dyDescent="0.3">
      <c r="A203" s="99"/>
      <c r="B203" s="100"/>
      <c r="C203" s="84" t="s">
        <v>119</v>
      </c>
      <c r="D203" s="261">
        <v>20000</v>
      </c>
      <c r="E203" s="103"/>
      <c r="F203" s="103"/>
      <c r="G203" s="102">
        <f>D203</f>
        <v>20000</v>
      </c>
      <c r="H203" s="104"/>
    </row>
    <row r="204" spans="1:8" x14ac:dyDescent="0.3">
      <c r="A204" s="105" t="s">
        <v>210</v>
      </c>
      <c r="B204" s="107" t="s">
        <v>215</v>
      </c>
      <c r="C204" s="50" t="s">
        <v>595</v>
      </c>
      <c r="D204" s="103"/>
      <c r="E204" s="103">
        <v>300.88</v>
      </c>
      <c r="F204" s="103"/>
      <c r="G204" s="102">
        <f>G203-E204</f>
        <v>19699.12</v>
      </c>
      <c r="H204" s="106"/>
    </row>
    <row r="205" spans="1:8" x14ac:dyDescent="0.3">
      <c r="A205" s="105" t="s">
        <v>564</v>
      </c>
      <c r="B205" s="107" t="s">
        <v>569</v>
      </c>
      <c r="C205" s="50" t="s">
        <v>568</v>
      </c>
      <c r="D205" s="103"/>
      <c r="E205" s="103">
        <v>693.26</v>
      </c>
      <c r="F205" s="103"/>
      <c r="G205" s="102">
        <f>G204-E205</f>
        <v>19005.86</v>
      </c>
      <c r="H205" s="106"/>
    </row>
    <row r="206" spans="1:8" x14ac:dyDescent="0.3">
      <c r="A206" s="105" t="s">
        <v>642</v>
      </c>
      <c r="B206" s="107" t="s">
        <v>644</v>
      </c>
      <c r="C206" s="50" t="s">
        <v>591</v>
      </c>
      <c r="D206" s="103"/>
      <c r="E206" s="103">
        <v>714.6</v>
      </c>
      <c r="F206" s="103"/>
      <c r="G206" s="102">
        <f>G205-E206</f>
        <v>18291.260000000002</v>
      </c>
      <c r="H206" s="106"/>
    </row>
    <row r="207" spans="1:8" x14ac:dyDescent="0.3">
      <c r="A207" s="105"/>
      <c r="B207" s="107" t="s">
        <v>644</v>
      </c>
      <c r="C207" s="50" t="s">
        <v>643</v>
      </c>
      <c r="D207" s="103"/>
      <c r="E207" s="103">
        <v>807.1</v>
      </c>
      <c r="F207" s="103"/>
      <c r="G207" s="102">
        <f>G206-E207</f>
        <v>17484.160000000003</v>
      </c>
      <c r="H207" s="106"/>
    </row>
    <row r="208" spans="1:8" x14ac:dyDescent="0.3">
      <c r="A208" s="99" t="s">
        <v>818</v>
      </c>
      <c r="B208" s="100"/>
      <c r="C208" s="50" t="s">
        <v>776</v>
      </c>
      <c r="D208" s="103">
        <v>-10000</v>
      </c>
      <c r="E208" s="103"/>
      <c r="F208" s="103"/>
      <c r="G208" s="108">
        <f>G207+D208</f>
        <v>7484.1600000000035</v>
      </c>
      <c r="H208" s="106"/>
    </row>
    <row r="209" spans="1:8" x14ac:dyDescent="0.3">
      <c r="A209" s="99" t="s">
        <v>904</v>
      </c>
      <c r="B209" s="107" t="s">
        <v>917</v>
      </c>
      <c r="C209" s="50" t="s">
        <v>916</v>
      </c>
      <c r="D209" s="103"/>
      <c r="E209" s="103">
        <v>714.6</v>
      </c>
      <c r="F209" s="103"/>
      <c r="G209" s="108">
        <f>G208-E209</f>
        <v>6769.5600000000031</v>
      </c>
      <c r="H209" s="106"/>
    </row>
    <row r="210" spans="1:8" x14ac:dyDescent="0.3">
      <c r="A210" s="99" t="s">
        <v>1107</v>
      </c>
      <c r="B210" s="107" t="s">
        <v>1111</v>
      </c>
      <c r="C210" s="50" t="s">
        <v>1110</v>
      </c>
      <c r="D210" s="103"/>
      <c r="E210" s="103">
        <v>747.11</v>
      </c>
      <c r="F210" s="103"/>
      <c r="G210" s="108">
        <f>G209-E210</f>
        <v>6022.4500000000035</v>
      </c>
      <c r="H210" s="106"/>
    </row>
    <row r="211" spans="1:8" x14ac:dyDescent="0.3">
      <c r="A211" s="99"/>
      <c r="B211" s="107"/>
      <c r="C211" s="50" t="s">
        <v>1150</v>
      </c>
      <c r="D211" s="103">
        <v>-140</v>
      </c>
      <c r="E211" s="103"/>
      <c r="F211" s="103"/>
      <c r="G211" s="108">
        <f>G210+D211</f>
        <v>5882.4500000000035</v>
      </c>
      <c r="H211" s="106"/>
    </row>
    <row r="212" spans="1:8" x14ac:dyDescent="0.3">
      <c r="A212" s="99" t="s">
        <v>1215</v>
      </c>
      <c r="B212" s="107" t="s">
        <v>1267</v>
      </c>
      <c r="C212" s="50" t="s">
        <v>1268</v>
      </c>
      <c r="D212" s="103"/>
      <c r="E212" s="103">
        <v>741.54</v>
      </c>
      <c r="F212" s="103"/>
      <c r="G212" s="108">
        <f>G211-E212</f>
        <v>5140.9100000000035</v>
      </c>
      <c r="H212" s="106"/>
    </row>
    <row r="213" spans="1:8" x14ac:dyDescent="0.3">
      <c r="A213" s="99" t="s">
        <v>1455</v>
      </c>
      <c r="B213" s="107" t="s">
        <v>1464</v>
      </c>
      <c r="C213" s="50" t="s">
        <v>1463</v>
      </c>
      <c r="D213" s="103"/>
      <c r="E213" s="103">
        <v>648.14</v>
      </c>
      <c r="F213" s="103"/>
      <c r="G213" s="108">
        <f>G212-E213</f>
        <v>4492.7700000000032</v>
      </c>
      <c r="H213" s="106"/>
    </row>
    <row r="214" spans="1:8" x14ac:dyDescent="0.3">
      <c r="A214" s="99"/>
      <c r="B214" s="107"/>
      <c r="C214" s="50"/>
      <c r="D214" s="103"/>
      <c r="E214" s="103"/>
      <c r="F214" s="103"/>
      <c r="G214" s="108"/>
      <c r="H214" s="106"/>
    </row>
    <row r="215" spans="1:8" x14ac:dyDescent="0.3">
      <c r="A215" s="99"/>
      <c r="B215" s="107"/>
      <c r="C215" s="50"/>
      <c r="D215" s="261"/>
      <c r="E215" s="103"/>
      <c r="F215" s="103"/>
      <c r="G215" s="108"/>
      <c r="H215" s="106"/>
    </row>
    <row r="216" spans="1:8" x14ac:dyDescent="0.3">
      <c r="A216" s="105"/>
      <c r="B216" s="107"/>
      <c r="C216" s="175" t="s">
        <v>775</v>
      </c>
      <c r="D216" s="109">
        <f>SUM(D158:D215)</f>
        <v>724500</v>
      </c>
      <c r="E216" s="109">
        <f>SUM(E158:E215)</f>
        <v>581141.30999999994</v>
      </c>
      <c r="F216" s="109"/>
      <c r="G216" s="197">
        <f>D216-E216</f>
        <v>143358.69000000006</v>
      </c>
      <c r="H216" s="106"/>
    </row>
    <row r="217" spans="1:8" ht="19.5" thickBot="1" x14ac:dyDescent="0.35">
      <c r="A217" s="128"/>
      <c r="B217" s="129"/>
      <c r="C217" s="130" t="s">
        <v>960</v>
      </c>
      <c r="D217" s="131">
        <f>D216+D156</f>
        <v>1500000</v>
      </c>
      <c r="E217" s="131">
        <f>E216+E156</f>
        <v>1202362.9099999999</v>
      </c>
      <c r="F217" s="131">
        <f>SUM(F143:F216)</f>
        <v>0</v>
      </c>
      <c r="G217" s="225">
        <f>D217-E217-F217</f>
        <v>297637.09000000008</v>
      </c>
      <c r="H217" s="132"/>
    </row>
    <row r="218" spans="1:8" ht="18" thickTop="1" x14ac:dyDescent="0.3"/>
    <row r="220" spans="1:8" x14ac:dyDescent="0.3">
      <c r="G220" s="176"/>
    </row>
  </sheetData>
  <pageMargins left="0.31" right="0.25" top="0.37" bottom="0.28000000000000003" header="0.22" footer="0.14000000000000001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7" zoomScaleNormal="100" workbookViewId="0">
      <selection activeCell="O25" sqref="O25"/>
    </sheetView>
  </sheetViews>
  <sheetFormatPr defaultRowHeight="17.25" x14ac:dyDescent="0.3"/>
  <cols>
    <col min="1" max="1" width="7.85546875" style="88" customWidth="1"/>
    <col min="2" max="2" width="10.42578125" style="88" customWidth="1"/>
    <col min="3" max="3" width="25" style="88" customWidth="1"/>
    <col min="4" max="4" width="12.28515625" style="88" customWidth="1"/>
    <col min="5" max="5" width="12.140625" style="88" customWidth="1"/>
    <col min="6" max="6" width="5.42578125" style="88" customWidth="1"/>
    <col min="7" max="7" width="12.140625" style="88" customWidth="1"/>
    <col min="8" max="8" width="9.140625" style="88" customWidth="1"/>
    <col min="9" max="16384" width="9.140625" style="88"/>
  </cols>
  <sheetData>
    <row r="1" spans="1:8" x14ac:dyDescent="0.3">
      <c r="A1" s="335" t="s">
        <v>190</v>
      </c>
      <c r="B1" s="335"/>
      <c r="C1" s="335"/>
      <c r="D1" s="335"/>
      <c r="E1" s="335"/>
      <c r="F1" s="335"/>
      <c r="G1" s="335"/>
      <c r="H1" s="87"/>
    </row>
    <row r="2" spans="1:8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8" x14ac:dyDescent="0.3">
      <c r="A3" s="87" t="s">
        <v>139</v>
      </c>
      <c r="B3" s="87"/>
      <c r="C3" s="87"/>
      <c r="D3" s="87"/>
      <c r="E3" s="87"/>
      <c r="F3" s="87"/>
      <c r="G3" s="87"/>
      <c r="H3" s="194"/>
    </row>
    <row r="4" spans="1:8" x14ac:dyDescent="0.3">
      <c r="A4" s="168" t="s">
        <v>16</v>
      </c>
      <c r="B4" s="168" t="s">
        <v>12</v>
      </c>
      <c r="C4" s="165" t="s">
        <v>4</v>
      </c>
      <c r="D4" s="92" t="s">
        <v>15</v>
      </c>
      <c r="E4" s="92" t="s">
        <v>1</v>
      </c>
      <c r="F4" s="92" t="s">
        <v>31</v>
      </c>
      <c r="G4" s="93" t="s">
        <v>2</v>
      </c>
      <c r="H4" s="91" t="s">
        <v>3</v>
      </c>
    </row>
    <row r="5" spans="1:8" x14ac:dyDescent="0.3">
      <c r="A5" s="94"/>
      <c r="B5" s="94"/>
      <c r="C5" s="95"/>
      <c r="D5" s="96" t="s">
        <v>0</v>
      </c>
      <c r="E5" s="96"/>
      <c r="F5" s="96"/>
      <c r="G5" s="97"/>
      <c r="H5" s="170"/>
    </row>
    <row r="6" spans="1:8" x14ac:dyDescent="0.3">
      <c r="A6" s="99"/>
      <c r="B6" s="100"/>
      <c r="C6" s="231" t="s">
        <v>196</v>
      </c>
      <c r="D6" s="101"/>
      <c r="E6" s="101"/>
      <c r="F6" s="101"/>
      <c r="G6" s="102"/>
      <c r="H6" s="104"/>
    </row>
    <row r="7" spans="1:8" x14ac:dyDescent="0.3">
      <c r="A7" s="99" t="s">
        <v>194</v>
      </c>
      <c r="B7" s="100" t="s">
        <v>195</v>
      </c>
      <c r="C7" s="166" t="s">
        <v>945</v>
      </c>
      <c r="D7" s="103">
        <v>3599080</v>
      </c>
      <c r="E7" s="103"/>
      <c r="F7" s="103"/>
      <c r="G7" s="102">
        <f>D7</f>
        <v>3599080</v>
      </c>
      <c r="H7" s="104"/>
    </row>
    <row r="8" spans="1:8" x14ac:dyDescent="0.3">
      <c r="A8" s="99"/>
      <c r="B8" s="100" t="s">
        <v>941</v>
      </c>
      <c r="C8" s="50" t="s">
        <v>168</v>
      </c>
      <c r="D8" s="101"/>
      <c r="E8" s="146">
        <v>3599080</v>
      </c>
      <c r="F8" s="101"/>
      <c r="G8" s="266">
        <f>G7-E8</f>
        <v>0</v>
      </c>
      <c r="H8" s="104"/>
    </row>
    <row r="9" spans="1:8" x14ac:dyDescent="0.3">
      <c r="A9" s="99"/>
      <c r="B9" s="100"/>
      <c r="C9" s="166" t="s">
        <v>197</v>
      </c>
      <c r="D9" s="103">
        <v>5411240</v>
      </c>
      <c r="E9" s="103"/>
      <c r="F9" s="103"/>
      <c r="G9" s="102">
        <f>D9</f>
        <v>5411240</v>
      </c>
      <c r="H9" s="104"/>
    </row>
    <row r="10" spans="1:8" x14ac:dyDescent="0.3">
      <c r="A10" s="188"/>
      <c r="B10" s="100" t="s">
        <v>942</v>
      </c>
      <c r="C10" s="50" t="s">
        <v>168</v>
      </c>
      <c r="D10" s="101"/>
      <c r="E10" s="146">
        <v>5411240</v>
      </c>
      <c r="F10" s="101"/>
      <c r="G10" s="266">
        <f>G9-E10</f>
        <v>0</v>
      </c>
      <c r="H10" s="104"/>
    </row>
    <row r="11" spans="1:8" x14ac:dyDescent="0.3">
      <c r="A11" s="99"/>
      <c r="B11" s="100"/>
      <c r="C11" s="166" t="s">
        <v>198</v>
      </c>
      <c r="D11" s="103">
        <v>23467450</v>
      </c>
      <c r="E11" s="103"/>
      <c r="F11" s="103"/>
      <c r="G11" s="102">
        <f>D11</f>
        <v>23467450</v>
      </c>
      <c r="H11" s="104"/>
    </row>
    <row r="12" spans="1:8" x14ac:dyDescent="0.3">
      <c r="A12" s="99"/>
      <c r="B12" s="100" t="s">
        <v>226</v>
      </c>
      <c r="C12" s="50" t="s">
        <v>168</v>
      </c>
      <c r="D12" s="101"/>
      <c r="E12" s="146">
        <v>23467450</v>
      </c>
      <c r="F12" s="101"/>
      <c r="G12" s="266">
        <f>G11-E12</f>
        <v>0</v>
      </c>
      <c r="H12" s="104"/>
    </row>
    <row r="13" spans="1:8" x14ac:dyDescent="0.3">
      <c r="A13" s="99" t="s">
        <v>904</v>
      </c>
      <c r="B13" s="100"/>
      <c r="C13" s="50" t="s">
        <v>943</v>
      </c>
      <c r="D13" s="103"/>
      <c r="E13" s="148">
        <v>-53610</v>
      </c>
      <c r="F13" s="103"/>
      <c r="G13" s="266">
        <f>G12-E13</f>
        <v>53610</v>
      </c>
      <c r="H13" s="104"/>
    </row>
    <row r="14" spans="1:8" x14ac:dyDescent="0.3">
      <c r="A14" s="99"/>
      <c r="B14" s="100"/>
      <c r="C14" s="50"/>
      <c r="D14" s="103"/>
      <c r="E14" s="148"/>
      <c r="F14" s="103"/>
      <c r="G14" s="266"/>
      <c r="H14" s="104"/>
    </row>
    <row r="15" spans="1:8" x14ac:dyDescent="0.3">
      <c r="A15" s="99" t="s">
        <v>860</v>
      </c>
      <c r="B15" s="100" t="s">
        <v>936</v>
      </c>
      <c r="C15" s="231" t="s">
        <v>935</v>
      </c>
      <c r="D15" s="103"/>
      <c r="E15" s="103"/>
      <c r="F15" s="103"/>
      <c r="G15" s="102"/>
      <c r="H15" s="104"/>
    </row>
    <row r="16" spans="1:8" x14ac:dyDescent="0.3">
      <c r="A16" s="99"/>
      <c r="B16" s="171"/>
      <c r="C16" s="166" t="s">
        <v>945</v>
      </c>
      <c r="D16" s="103">
        <v>1397940</v>
      </c>
      <c r="E16" s="103"/>
      <c r="F16" s="103"/>
      <c r="G16" s="102">
        <f>D16</f>
        <v>1397940</v>
      </c>
      <c r="H16" s="104"/>
    </row>
    <row r="17" spans="1:8" x14ac:dyDescent="0.3">
      <c r="A17" s="99"/>
      <c r="B17" s="100" t="s">
        <v>937</v>
      </c>
      <c r="C17" s="50" t="s">
        <v>940</v>
      </c>
      <c r="D17" s="101"/>
      <c r="E17" s="146">
        <v>1397940</v>
      </c>
      <c r="F17" s="101"/>
      <c r="G17" s="266">
        <f>G16-E17</f>
        <v>0</v>
      </c>
      <c r="H17" s="104"/>
    </row>
    <row r="18" spans="1:8" x14ac:dyDescent="0.3">
      <c r="A18" s="99"/>
      <c r="B18" s="100"/>
      <c r="C18" s="166" t="s">
        <v>944</v>
      </c>
      <c r="D18" s="103">
        <v>2060720</v>
      </c>
      <c r="E18" s="103"/>
      <c r="F18" s="103"/>
      <c r="G18" s="102">
        <f>D18</f>
        <v>2060720</v>
      </c>
      <c r="H18" s="104"/>
    </row>
    <row r="19" spans="1:8" x14ac:dyDescent="0.3">
      <c r="A19" s="99"/>
      <c r="B19" s="100" t="s">
        <v>938</v>
      </c>
      <c r="C19" s="50" t="s">
        <v>940</v>
      </c>
      <c r="D19" s="101"/>
      <c r="E19" s="146">
        <v>2060720</v>
      </c>
      <c r="F19" s="101"/>
      <c r="G19" s="266">
        <f>G18-E19</f>
        <v>0</v>
      </c>
      <c r="H19" s="104"/>
    </row>
    <row r="20" spans="1:8" x14ac:dyDescent="0.3">
      <c r="A20" s="99"/>
      <c r="B20" s="100"/>
      <c r="C20" s="166" t="s">
        <v>946</v>
      </c>
      <c r="D20" s="103">
        <v>8948150</v>
      </c>
      <c r="E20" s="103"/>
      <c r="F20" s="103"/>
      <c r="G20" s="102">
        <f>D20</f>
        <v>8948150</v>
      </c>
      <c r="H20" s="104"/>
    </row>
    <row r="21" spans="1:8" x14ac:dyDescent="0.3">
      <c r="A21" s="99"/>
      <c r="B21" s="100" t="s">
        <v>939</v>
      </c>
      <c r="C21" s="50" t="s">
        <v>940</v>
      </c>
      <c r="D21" s="101"/>
      <c r="E21" s="146">
        <v>8948150</v>
      </c>
      <c r="F21" s="101"/>
      <c r="G21" s="266">
        <f>G20-E21</f>
        <v>0</v>
      </c>
      <c r="H21" s="104"/>
    </row>
    <row r="22" spans="1:8" x14ac:dyDescent="0.3">
      <c r="A22" s="99"/>
      <c r="B22" s="100"/>
      <c r="C22" s="50"/>
      <c r="D22" s="103"/>
      <c r="E22" s="103"/>
      <c r="F22" s="103"/>
      <c r="G22" s="102"/>
      <c r="H22" s="104"/>
    </row>
    <row r="23" spans="1:8" x14ac:dyDescent="0.3">
      <c r="A23" s="99" t="s">
        <v>904</v>
      </c>
      <c r="B23" s="100" t="s">
        <v>931</v>
      </c>
      <c r="C23" s="50" t="s">
        <v>932</v>
      </c>
      <c r="D23" s="103">
        <v>6745000</v>
      </c>
      <c r="E23" s="103"/>
      <c r="F23" s="103"/>
      <c r="G23" s="102">
        <v>6745000</v>
      </c>
      <c r="H23" s="104"/>
    </row>
    <row r="24" spans="1:8" x14ac:dyDescent="0.3">
      <c r="A24" s="99" t="s">
        <v>928</v>
      </c>
      <c r="B24" s="100" t="s">
        <v>912</v>
      </c>
      <c r="C24" s="50" t="s">
        <v>947</v>
      </c>
      <c r="D24" s="103"/>
      <c r="E24" s="103">
        <v>6745000</v>
      </c>
      <c r="F24" s="103"/>
      <c r="G24" s="266">
        <f>G23-E24</f>
        <v>0</v>
      </c>
      <c r="H24" s="104"/>
    </row>
    <row r="25" spans="1:8" x14ac:dyDescent="0.3">
      <c r="A25" s="99" t="s">
        <v>1156</v>
      </c>
      <c r="B25" s="100"/>
      <c r="C25" s="50" t="s">
        <v>1157</v>
      </c>
      <c r="D25" s="103"/>
      <c r="E25" s="103">
        <v>-84225</v>
      </c>
      <c r="F25" s="103"/>
      <c r="G25" s="266">
        <f>G24-E25</f>
        <v>84225</v>
      </c>
      <c r="H25" s="104"/>
    </row>
    <row r="26" spans="1:8" x14ac:dyDescent="0.3">
      <c r="A26" s="99"/>
      <c r="B26" s="100"/>
      <c r="C26" s="50"/>
      <c r="D26" s="103"/>
      <c r="E26" s="103"/>
      <c r="F26" s="103"/>
      <c r="G26" s="266"/>
      <c r="H26" s="104"/>
    </row>
    <row r="27" spans="1:8" x14ac:dyDescent="0.3">
      <c r="A27" s="99" t="s">
        <v>1006</v>
      </c>
      <c r="B27" s="100" t="s">
        <v>1008</v>
      </c>
      <c r="C27" s="231" t="s">
        <v>1009</v>
      </c>
      <c r="D27" s="103"/>
      <c r="E27" s="103"/>
      <c r="F27" s="103"/>
      <c r="G27" s="102"/>
      <c r="H27" s="104"/>
    </row>
    <row r="28" spans="1:8" x14ac:dyDescent="0.3">
      <c r="A28" s="99"/>
      <c r="B28" s="171"/>
      <c r="C28" s="166" t="s">
        <v>1010</v>
      </c>
      <c r="D28" s="101">
        <v>12603515</v>
      </c>
      <c r="E28" s="101"/>
      <c r="F28" s="101"/>
      <c r="G28" s="102">
        <f>D28</f>
        <v>12603515</v>
      </c>
      <c r="H28" s="104"/>
    </row>
    <row r="29" spans="1:8" x14ac:dyDescent="0.3">
      <c r="A29" s="99"/>
      <c r="B29" s="100" t="s">
        <v>949</v>
      </c>
      <c r="C29" s="50" t="s">
        <v>940</v>
      </c>
      <c r="D29" s="101"/>
      <c r="E29" s="146">
        <f>D28</f>
        <v>12603515</v>
      </c>
      <c r="F29" s="101"/>
      <c r="G29" s="266">
        <f>G28-E29</f>
        <v>0</v>
      </c>
      <c r="H29" s="104"/>
    </row>
    <row r="30" spans="1:8" x14ac:dyDescent="0.3">
      <c r="A30" s="99"/>
      <c r="B30" s="171"/>
      <c r="C30" s="166" t="s">
        <v>945</v>
      </c>
      <c r="D30" s="101">
        <v>3616900</v>
      </c>
      <c r="E30" s="101"/>
      <c r="F30" s="101"/>
      <c r="G30" s="102">
        <f>D30</f>
        <v>3616900</v>
      </c>
      <c r="H30" s="104"/>
    </row>
    <row r="31" spans="1:8" x14ac:dyDescent="0.3">
      <c r="A31" s="99"/>
      <c r="B31" s="100" t="s">
        <v>1012</v>
      </c>
      <c r="C31" s="50" t="s">
        <v>940</v>
      </c>
      <c r="D31" s="101"/>
      <c r="E31" s="146">
        <f>D30</f>
        <v>3616900</v>
      </c>
      <c r="F31" s="101"/>
      <c r="G31" s="266">
        <f>G30-E31</f>
        <v>0</v>
      </c>
      <c r="H31" s="104"/>
    </row>
    <row r="32" spans="1:8" x14ac:dyDescent="0.3">
      <c r="A32" s="99"/>
      <c r="B32" s="171"/>
      <c r="C32" s="166" t="s">
        <v>1011</v>
      </c>
      <c r="D32" s="101">
        <v>7349350</v>
      </c>
      <c r="E32" s="101"/>
      <c r="F32" s="101"/>
      <c r="G32" s="102">
        <f>D32</f>
        <v>7349350</v>
      </c>
      <c r="H32" s="104"/>
    </row>
    <row r="33" spans="1:8" x14ac:dyDescent="0.3">
      <c r="A33" s="99"/>
      <c r="B33" s="100" t="s">
        <v>1013</v>
      </c>
      <c r="C33" s="50" t="s">
        <v>940</v>
      </c>
      <c r="D33" s="101"/>
      <c r="E33" s="146">
        <f>D32</f>
        <v>7349350</v>
      </c>
      <c r="F33" s="101"/>
      <c r="G33" s="266">
        <f>G32-E33</f>
        <v>0</v>
      </c>
      <c r="H33" s="104"/>
    </row>
    <row r="34" spans="1:8" x14ac:dyDescent="0.3">
      <c r="A34" s="99"/>
      <c r="B34" s="100"/>
      <c r="C34" s="166" t="s">
        <v>944</v>
      </c>
      <c r="D34" s="101">
        <v>5397530</v>
      </c>
      <c r="E34" s="101"/>
      <c r="F34" s="101"/>
      <c r="G34" s="102">
        <f>D34</f>
        <v>5397530</v>
      </c>
      <c r="H34" s="104"/>
    </row>
    <row r="35" spans="1:8" x14ac:dyDescent="0.3">
      <c r="A35" s="99"/>
      <c r="B35" s="100" t="s">
        <v>1014</v>
      </c>
      <c r="C35" s="50" t="s">
        <v>940</v>
      </c>
      <c r="D35" s="101"/>
      <c r="E35" s="146">
        <f>D34</f>
        <v>5397530</v>
      </c>
      <c r="F35" s="101"/>
      <c r="G35" s="266">
        <f>G34-E35</f>
        <v>0</v>
      </c>
      <c r="H35" s="104"/>
    </row>
    <row r="36" spans="1:8" x14ac:dyDescent="0.3">
      <c r="A36" s="99"/>
      <c r="B36" s="100"/>
      <c r="C36" s="166" t="s">
        <v>946</v>
      </c>
      <c r="D36" s="101">
        <v>23529150</v>
      </c>
      <c r="E36" s="101"/>
      <c r="F36" s="101"/>
      <c r="G36" s="102">
        <f>D36</f>
        <v>23529150</v>
      </c>
      <c r="H36" s="104"/>
    </row>
    <row r="37" spans="1:8" x14ac:dyDescent="0.3">
      <c r="A37" s="99"/>
      <c r="B37" s="100" t="s">
        <v>1015</v>
      </c>
      <c r="C37" s="50" t="s">
        <v>940</v>
      </c>
      <c r="D37" s="101"/>
      <c r="E37" s="146">
        <f>D36</f>
        <v>23529150</v>
      </c>
      <c r="F37" s="101"/>
      <c r="G37" s="266">
        <f>G36-E37</f>
        <v>0</v>
      </c>
      <c r="H37" s="104"/>
    </row>
    <row r="38" spans="1:8" x14ac:dyDescent="0.3">
      <c r="A38" s="99"/>
      <c r="B38" s="100"/>
      <c r="C38" s="50"/>
      <c r="D38" s="101"/>
      <c r="E38" s="101"/>
      <c r="F38" s="101"/>
      <c r="G38" s="266"/>
      <c r="H38" s="104"/>
    </row>
    <row r="39" spans="1:8" x14ac:dyDescent="0.3">
      <c r="A39" s="99"/>
      <c r="B39" s="107"/>
      <c r="C39" s="86"/>
      <c r="D39" s="153"/>
      <c r="E39" s="153"/>
      <c r="F39" s="153"/>
      <c r="G39" s="154"/>
      <c r="H39" s="104"/>
    </row>
    <row r="40" spans="1:8" ht="18" thickBot="1" x14ac:dyDescent="0.35">
      <c r="A40" s="99"/>
      <c r="B40" s="155"/>
      <c r="C40" s="143" t="s">
        <v>37</v>
      </c>
      <c r="D40" s="182">
        <f>SUM(D6:D38)</f>
        <v>104126025</v>
      </c>
      <c r="E40" s="182">
        <f>SUM(E6:E38)</f>
        <v>103988190</v>
      </c>
      <c r="F40" s="156">
        <f>SUM(F6:F38)</f>
        <v>0</v>
      </c>
      <c r="G40" s="173">
        <f>D40-E40-F40</f>
        <v>137835</v>
      </c>
      <c r="H40" s="104"/>
    </row>
    <row r="41" spans="1:8" ht="18" thickTop="1" x14ac:dyDescent="0.3"/>
    <row r="46" spans="1:8" x14ac:dyDescent="0.3">
      <c r="D46" s="189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J18" sqref="J18"/>
    </sheetView>
  </sheetViews>
  <sheetFormatPr defaultRowHeight="17.25" x14ac:dyDescent="0.3"/>
  <cols>
    <col min="1" max="1" width="7.85546875" style="88" customWidth="1"/>
    <col min="2" max="2" width="10.42578125" style="88" customWidth="1"/>
    <col min="3" max="3" width="25" style="88" customWidth="1"/>
    <col min="4" max="4" width="12.28515625" style="88" customWidth="1"/>
    <col min="5" max="5" width="12.140625" style="88" customWidth="1"/>
    <col min="6" max="6" width="5.140625" style="88" customWidth="1"/>
    <col min="7" max="7" width="12.140625" style="88" customWidth="1"/>
    <col min="8" max="8" width="9.140625" style="88" customWidth="1"/>
    <col min="9" max="10" width="9.140625" style="88"/>
    <col min="11" max="11" width="12.85546875" style="88" customWidth="1"/>
    <col min="12" max="16384" width="9.140625" style="88"/>
  </cols>
  <sheetData>
    <row r="1" spans="1:8" x14ac:dyDescent="0.3">
      <c r="A1" s="335" t="s">
        <v>190</v>
      </c>
      <c r="B1" s="335"/>
      <c r="C1" s="335"/>
      <c r="D1" s="335"/>
      <c r="E1" s="335"/>
      <c r="F1" s="335"/>
      <c r="G1" s="335"/>
      <c r="H1" s="87"/>
    </row>
    <row r="2" spans="1:8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8" x14ac:dyDescent="0.3">
      <c r="A3" s="87" t="s">
        <v>139</v>
      </c>
      <c r="B3" s="87"/>
      <c r="C3" s="87"/>
      <c r="D3" s="87"/>
      <c r="E3" s="87"/>
      <c r="F3" s="87"/>
      <c r="G3" s="87"/>
      <c r="H3" s="194"/>
    </row>
    <row r="4" spans="1:8" x14ac:dyDescent="0.3">
      <c r="A4" s="168" t="s">
        <v>16</v>
      </c>
      <c r="B4" s="168" t="s">
        <v>12</v>
      </c>
      <c r="C4" s="165" t="s">
        <v>4</v>
      </c>
      <c r="D4" s="92" t="s">
        <v>15</v>
      </c>
      <c r="E4" s="92" t="s">
        <v>1</v>
      </c>
      <c r="F4" s="92" t="s">
        <v>31</v>
      </c>
      <c r="G4" s="93" t="s">
        <v>2</v>
      </c>
      <c r="H4" s="91" t="s">
        <v>3</v>
      </c>
    </row>
    <row r="5" spans="1:8" x14ac:dyDescent="0.3">
      <c r="A5" s="94"/>
      <c r="B5" s="94"/>
      <c r="C5" s="95"/>
      <c r="D5" s="96" t="s">
        <v>0</v>
      </c>
      <c r="E5" s="96"/>
      <c r="F5" s="96"/>
      <c r="G5" s="97"/>
      <c r="H5" s="170"/>
    </row>
    <row r="6" spans="1:8" x14ac:dyDescent="0.3">
      <c r="A6" s="99"/>
      <c r="B6" s="100"/>
      <c r="C6" s="50"/>
      <c r="D6" s="103"/>
      <c r="E6" s="148"/>
      <c r="F6" s="103"/>
      <c r="G6" s="266"/>
      <c r="H6" s="104"/>
    </row>
    <row r="7" spans="1:8" x14ac:dyDescent="0.3">
      <c r="A7" s="99" t="s">
        <v>1416</v>
      </c>
      <c r="B7" s="100" t="s">
        <v>1417</v>
      </c>
      <c r="C7" s="50" t="s">
        <v>1418</v>
      </c>
      <c r="D7" s="103">
        <v>1698200</v>
      </c>
      <c r="E7" s="148"/>
      <c r="F7" s="103"/>
      <c r="G7" s="266">
        <v>1698200</v>
      </c>
      <c r="H7" s="104"/>
    </row>
    <row r="8" spans="1:8" x14ac:dyDescent="0.3">
      <c r="A8" s="99"/>
      <c r="B8" s="100" t="s">
        <v>1420</v>
      </c>
      <c r="C8" s="50" t="s">
        <v>1419</v>
      </c>
      <c r="D8" s="103"/>
      <c r="E8" s="148">
        <v>1698200</v>
      </c>
      <c r="F8" s="103"/>
      <c r="G8" s="266">
        <f>G7-E8</f>
        <v>0</v>
      </c>
      <c r="H8" s="104"/>
    </row>
    <row r="9" spans="1:8" x14ac:dyDescent="0.3">
      <c r="A9" s="99"/>
      <c r="B9" s="100"/>
      <c r="C9" s="50"/>
      <c r="D9" s="103"/>
      <c r="E9" s="148"/>
      <c r="F9" s="103"/>
      <c r="G9" s="266"/>
      <c r="H9" s="104"/>
    </row>
    <row r="10" spans="1:8" x14ac:dyDescent="0.3">
      <c r="A10" s="99"/>
      <c r="B10" s="100"/>
      <c r="C10" s="50"/>
      <c r="D10" s="103"/>
      <c r="E10" s="148"/>
      <c r="F10" s="103"/>
      <c r="G10" s="266"/>
      <c r="H10" s="104"/>
    </row>
    <row r="11" spans="1:8" x14ac:dyDescent="0.3">
      <c r="A11" s="99"/>
      <c r="B11" s="100"/>
      <c r="C11" s="50"/>
      <c r="D11" s="103"/>
      <c r="E11" s="148"/>
      <c r="F11" s="103"/>
      <c r="G11" s="266"/>
      <c r="H11" s="104"/>
    </row>
    <row r="12" spans="1:8" x14ac:dyDescent="0.3">
      <c r="A12" s="99"/>
      <c r="B12" s="100"/>
      <c r="C12" s="50"/>
      <c r="D12" s="103"/>
      <c r="E12" s="148"/>
      <c r="F12" s="103"/>
      <c r="G12" s="266"/>
      <c r="H12" s="104"/>
    </row>
    <row r="13" spans="1:8" x14ac:dyDescent="0.3">
      <c r="A13" s="99"/>
      <c r="B13" s="100"/>
      <c r="C13" s="50"/>
      <c r="D13" s="103"/>
      <c r="E13" s="148"/>
      <c r="F13" s="103"/>
      <c r="G13" s="266"/>
      <c r="H13" s="104"/>
    </row>
    <row r="14" spans="1:8" x14ac:dyDescent="0.3">
      <c r="A14" s="99"/>
      <c r="B14" s="100"/>
      <c r="C14" s="50"/>
      <c r="D14" s="103"/>
      <c r="E14" s="148"/>
      <c r="F14" s="103"/>
      <c r="G14" s="266"/>
      <c r="H14" s="104"/>
    </row>
    <row r="15" spans="1:8" x14ac:dyDescent="0.3">
      <c r="A15" s="99"/>
      <c r="B15" s="100"/>
      <c r="C15" s="50"/>
      <c r="D15" s="103"/>
      <c r="E15" s="148"/>
      <c r="F15" s="103"/>
      <c r="G15" s="266"/>
      <c r="H15" s="104"/>
    </row>
    <row r="16" spans="1:8" x14ac:dyDescent="0.3">
      <c r="A16" s="99"/>
      <c r="B16" s="100"/>
      <c r="C16" s="50"/>
      <c r="D16" s="103"/>
      <c r="E16" s="148"/>
      <c r="F16" s="103"/>
      <c r="G16" s="266"/>
      <c r="H16" s="104"/>
    </row>
    <row r="17" spans="1:8" x14ac:dyDescent="0.3">
      <c r="A17" s="99"/>
      <c r="B17" s="100"/>
      <c r="C17" s="50"/>
      <c r="D17" s="103"/>
      <c r="E17" s="148"/>
      <c r="F17" s="103"/>
      <c r="G17" s="266"/>
      <c r="H17" s="104"/>
    </row>
    <row r="18" spans="1:8" x14ac:dyDescent="0.3">
      <c r="A18" s="99"/>
      <c r="B18" s="100"/>
      <c r="C18" s="50"/>
      <c r="D18" s="103"/>
      <c r="E18" s="103"/>
      <c r="F18" s="103"/>
      <c r="G18" s="266"/>
      <c r="H18" s="104"/>
    </row>
    <row r="19" spans="1:8" x14ac:dyDescent="0.3">
      <c r="A19" s="99"/>
      <c r="B19" s="107"/>
      <c r="C19" s="86"/>
      <c r="D19" s="153"/>
      <c r="E19" s="153"/>
      <c r="F19" s="153"/>
      <c r="G19" s="154"/>
      <c r="H19" s="104"/>
    </row>
    <row r="20" spans="1:8" ht="18" thickBot="1" x14ac:dyDescent="0.35">
      <c r="A20" s="99"/>
      <c r="B20" s="155"/>
      <c r="C20" s="143" t="s">
        <v>37</v>
      </c>
      <c r="D20" s="182">
        <f>SUM(D6:D18)</f>
        <v>1698200</v>
      </c>
      <c r="E20" s="182">
        <f>SUM(E6:E18)</f>
        <v>1698200</v>
      </c>
      <c r="F20" s="156">
        <f>SUM(F6:F18)</f>
        <v>0</v>
      </c>
      <c r="G20" s="173">
        <f>D20-E20-F20</f>
        <v>0</v>
      </c>
      <c r="H20" s="175"/>
    </row>
    <row r="21" spans="1:8" ht="18" thickTop="1" x14ac:dyDescent="0.3"/>
    <row r="26" spans="1:8" x14ac:dyDescent="0.3">
      <c r="D26" s="189"/>
    </row>
  </sheetData>
  <mergeCells count="2">
    <mergeCell ref="A1:G1"/>
    <mergeCell ref="A2:H2"/>
  </mergeCells>
  <pageMargins left="0.6" right="0.21" top="0.34" bottom="0.48" header="0.2800000000000000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82" workbookViewId="0">
      <selection activeCell="D18" sqref="D18"/>
    </sheetView>
  </sheetViews>
  <sheetFormatPr defaultRowHeight="17.25" x14ac:dyDescent="0.3"/>
  <cols>
    <col min="1" max="1" width="9" style="88" customWidth="1"/>
    <col min="2" max="2" width="8.85546875" style="88" customWidth="1"/>
    <col min="3" max="3" width="26.85546875" style="88" customWidth="1"/>
    <col min="4" max="4" width="12.42578125" style="88" bestFit="1" customWidth="1"/>
    <col min="5" max="5" width="11.5703125" style="88" customWidth="1"/>
    <col min="6" max="6" width="10" style="88" bestFit="1" customWidth="1"/>
    <col min="7" max="7" width="11.28515625" style="88" customWidth="1"/>
    <col min="8" max="9" width="9.140625" style="88"/>
    <col min="10" max="10" width="12.140625" style="88" customWidth="1"/>
    <col min="11" max="11" width="10.85546875" style="88" customWidth="1"/>
    <col min="12" max="16384" width="9.140625" style="88"/>
  </cols>
  <sheetData>
    <row r="1" spans="1:10" ht="18.75" x14ac:dyDescent="0.3">
      <c r="A1" s="87"/>
      <c r="B1" s="87"/>
      <c r="C1" s="230" t="s">
        <v>167</v>
      </c>
      <c r="D1" s="87"/>
      <c r="E1" s="87"/>
      <c r="F1" s="87"/>
      <c r="G1" s="87" t="s">
        <v>111</v>
      </c>
      <c r="H1" s="87"/>
      <c r="I1" s="87"/>
    </row>
    <row r="2" spans="1:10" x14ac:dyDescent="0.3">
      <c r="A2" s="87"/>
      <c r="B2" s="87" t="s">
        <v>630</v>
      </c>
      <c r="C2" s="87"/>
      <c r="D2" s="87"/>
      <c r="E2" s="87"/>
      <c r="F2" s="87"/>
      <c r="G2" s="87"/>
      <c r="H2" s="89" t="s">
        <v>140</v>
      </c>
    </row>
    <row r="3" spans="1:10" x14ac:dyDescent="0.3">
      <c r="A3" s="87" t="s">
        <v>14</v>
      </c>
      <c r="B3" s="87"/>
      <c r="C3" s="87"/>
      <c r="D3" s="87"/>
      <c r="E3" s="87"/>
      <c r="F3" s="87"/>
      <c r="G3" s="87" t="s">
        <v>141</v>
      </c>
      <c r="H3" s="87" t="s">
        <v>142</v>
      </c>
    </row>
    <row r="4" spans="1:10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91" t="s">
        <v>3</v>
      </c>
    </row>
    <row r="5" spans="1:10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98" t="s">
        <v>17</v>
      </c>
    </row>
    <row r="6" spans="1:10" x14ac:dyDescent="0.3">
      <c r="A6" s="99" t="s">
        <v>148</v>
      </c>
      <c r="B6" s="100" t="s">
        <v>149</v>
      </c>
      <c r="C6" s="81" t="s">
        <v>112</v>
      </c>
      <c r="D6" s="82"/>
      <c r="E6" s="101"/>
      <c r="F6" s="101"/>
      <c r="G6" s="102"/>
      <c r="H6" s="224"/>
      <c r="J6" s="88">
        <v>20000</v>
      </c>
    </row>
    <row r="7" spans="1:10" x14ac:dyDescent="0.3">
      <c r="A7" s="99"/>
      <c r="B7" s="100"/>
      <c r="C7" s="84" t="s">
        <v>113</v>
      </c>
      <c r="D7" s="103">
        <v>20000</v>
      </c>
      <c r="E7" s="103"/>
      <c r="F7" s="103"/>
      <c r="G7" s="102">
        <f>D7</f>
        <v>20000</v>
      </c>
      <c r="H7" s="104" t="s">
        <v>114</v>
      </c>
      <c r="J7" s="88">
        <v>15000</v>
      </c>
    </row>
    <row r="8" spans="1:10" x14ac:dyDescent="0.3">
      <c r="A8" s="99" t="s">
        <v>210</v>
      </c>
      <c r="B8" s="100" t="s">
        <v>219</v>
      </c>
      <c r="C8" s="50" t="s">
        <v>220</v>
      </c>
      <c r="D8" s="103"/>
      <c r="E8" s="103">
        <v>850</v>
      </c>
      <c r="F8" s="103"/>
      <c r="G8" s="102">
        <f>G7-E8</f>
        <v>19150</v>
      </c>
      <c r="H8" s="104"/>
      <c r="J8" s="88">
        <v>50000</v>
      </c>
    </row>
    <row r="9" spans="1:10" x14ac:dyDescent="0.3">
      <c r="A9" s="99" t="s">
        <v>261</v>
      </c>
      <c r="B9" s="100"/>
      <c r="C9" s="50" t="s">
        <v>264</v>
      </c>
      <c r="D9" s="103"/>
      <c r="E9" s="103">
        <v>7900</v>
      </c>
      <c r="F9" s="103"/>
      <c r="G9" s="102">
        <f>G8-E9</f>
        <v>11250</v>
      </c>
      <c r="H9" s="104"/>
      <c r="J9" s="88">
        <v>30000</v>
      </c>
    </row>
    <row r="10" spans="1:10" x14ac:dyDescent="0.3">
      <c r="A10" s="99" t="s">
        <v>349</v>
      </c>
      <c r="B10" s="100"/>
      <c r="C10" s="50" t="s">
        <v>220</v>
      </c>
      <c r="D10" s="103"/>
      <c r="E10" s="103">
        <v>8500</v>
      </c>
      <c r="F10" s="103"/>
      <c r="G10" s="102">
        <f>G9-E10</f>
        <v>2750</v>
      </c>
      <c r="H10" s="104"/>
      <c r="J10" s="88">
        <v>10000</v>
      </c>
    </row>
    <row r="11" spans="1:10" x14ac:dyDescent="0.3">
      <c r="A11" s="99"/>
      <c r="B11" s="100"/>
      <c r="C11" s="50" t="s">
        <v>220</v>
      </c>
      <c r="D11" s="103"/>
      <c r="E11" s="103">
        <v>4890</v>
      </c>
      <c r="F11" s="103"/>
      <c r="G11" s="102">
        <f>G10-E11</f>
        <v>-2140</v>
      </c>
      <c r="H11" s="104"/>
      <c r="J11" s="88">
        <v>100000</v>
      </c>
    </row>
    <row r="12" spans="1:10" x14ac:dyDescent="0.3">
      <c r="A12" s="99"/>
      <c r="B12" s="100"/>
      <c r="C12" s="50" t="s">
        <v>357</v>
      </c>
      <c r="D12" s="103">
        <v>5000</v>
      </c>
      <c r="E12" s="103"/>
      <c r="F12" s="103"/>
      <c r="G12" s="102">
        <f>G11+D12</f>
        <v>2860</v>
      </c>
      <c r="H12" s="104"/>
      <c r="J12" s="88">
        <v>15000</v>
      </c>
    </row>
    <row r="13" spans="1:10" x14ac:dyDescent="0.3">
      <c r="A13" s="99" t="s">
        <v>741</v>
      </c>
      <c r="B13" s="100"/>
      <c r="C13" s="84" t="s">
        <v>747</v>
      </c>
      <c r="D13" s="261">
        <v>20000</v>
      </c>
      <c r="E13" s="103"/>
      <c r="F13" s="103"/>
      <c r="G13" s="102">
        <f>G12+D13</f>
        <v>22860</v>
      </c>
      <c r="H13" s="104"/>
      <c r="J13" s="88">
        <v>250000</v>
      </c>
    </row>
    <row r="14" spans="1:10" x14ac:dyDescent="0.3">
      <c r="A14" s="99"/>
      <c r="B14" s="100"/>
      <c r="C14" s="50"/>
      <c r="D14" s="103"/>
      <c r="E14" s="103"/>
      <c r="F14" s="103"/>
      <c r="G14" s="102"/>
      <c r="H14" s="104"/>
      <c r="J14" s="88">
        <v>10000</v>
      </c>
    </row>
    <row r="15" spans="1:10" x14ac:dyDescent="0.3">
      <c r="A15" s="99"/>
      <c r="B15" s="100"/>
      <c r="C15" s="50"/>
      <c r="D15" s="103"/>
      <c r="E15" s="103"/>
      <c r="F15" s="103"/>
      <c r="G15" s="102"/>
      <c r="H15" s="104"/>
      <c r="J15" s="88">
        <f>SUM(J6:J14)</f>
        <v>500000</v>
      </c>
    </row>
    <row r="16" spans="1:10" x14ac:dyDescent="0.3">
      <c r="A16" s="99"/>
      <c r="B16" s="100"/>
      <c r="C16" s="84" t="s">
        <v>162</v>
      </c>
      <c r="D16" s="103">
        <v>150000</v>
      </c>
      <c r="E16" s="103"/>
      <c r="F16" s="103"/>
      <c r="G16" s="102">
        <f>D16</f>
        <v>150000</v>
      </c>
      <c r="H16" s="104" t="s">
        <v>114</v>
      </c>
    </row>
    <row r="17" spans="1:8" x14ac:dyDescent="0.3">
      <c r="A17" s="99" t="s">
        <v>741</v>
      </c>
      <c r="B17" s="107"/>
      <c r="C17" s="84" t="s">
        <v>747</v>
      </c>
      <c r="D17" s="261">
        <v>15000</v>
      </c>
      <c r="E17" s="108"/>
      <c r="F17" s="103"/>
      <c r="G17" s="102">
        <f>G16+D17</f>
        <v>165000</v>
      </c>
      <c r="H17" s="104"/>
    </row>
    <row r="18" spans="1:8" x14ac:dyDescent="0.3">
      <c r="A18" s="99"/>
      <c r="B18" s="107"/>
      <c r="C18" s="50"/>
      <c r="D18" s="261"/>
      <c r="E18" s="108"/>
      <c r="F18" s="103"/>
      <c r="G18" s="102"/>
      <c r="H18" s="104"/>
    </row>
    <row r="19" spans="1:8" x14ac:dyDescent="0.3">
      <c r="A19" s="99"/>
      <c r="B19" s="100"/>
      <c r="C19" s="84" t="s">
        <v>163</v>
      </c>
      <c r="D19" s="103">
        <v>30000</v>
      </c>
      <c r="E19" s="103"/>
      <c r="F19" s="103"/>
      <c r="G19" s="102">
        <f>D19</f>
        <v>30000</v>
      </c>
      <c r="H19" s="104" t="s">
        <v>114</v>
      </c>
    </row>
    <row r="20" spans="1:8" x14ac:dyDescent="0.3">
      <c r="A20" s="99"/>
      <c r="B20" s="100"/>
      <c r="C20" s="50"/>
      <c r="D20" s="103"/>
      <c r="E20" s="103"/>
      <c r="F20" s="103"/>
      <c r="G20" s="102"/>
      <c r="H20" s="104"/>
    </row>
    <row r="21" spans="1:8" x14ac:dyDescent="0.3">
      <c r="A21" s="99"/>
      <c r="B21" s="100"/>
      <c r="C21" s="84" t="s">
        <v>164</v>
      </c>
      <c r="D21" s="103">
        <v>150000</v>
      </c>
      <c r="E21" s="103"/>
      <c r="F21" s="103"/>
      <c r="G21" s="102">
        <f>D21</f>
        <v>150000</v>
      </c>
      <c r="H21" s="104" t="s">
        <v>114</v>
      </c>
    </row>
    <row r="22" spans="1:8" x14ac:dyDescent="0.3">
      <c r="A22" s="99" t="s">
        <v>194</v>
      </c>
      <c r="B22" s="100" t="s">
        <v>204</v>
      </c>
      <c r="C22" s="50" t="s">
        <v>205</v>
      </c>
      <c r="D22" s="103"/>
      <c r="E22" s="103">
        <v>31500</v>
      </c>
      <c r="F22" s="103"/>
      <c r="G22" s="102">
        <f>G21-E22</f>
        <v>118500</v>
      </c>
      <c r="H22" s="104"/>
    </row>
    <row r="23" spans="1:8" x14ac:dyDescent="0.3">
      <c r="A23" s="99" t="s">
        <v>320</v>
      </c>
      <c r="B23" s="100" t="s">
        <v>330</v>
      </c>
      <c r="C23" s="50" t="s">
        <v>331</v>
      </c>
      <c r="D23" s="103"/>
      <c r="E23" s="103">
        <v>26700</v>
      </c>
      <c r="F23" s="103"/>
      <c r="G23" s="102">
        <f>G22-E23</f>
        <v>91800</v>
      </c>
      <c r="H23" s="104"/>
    </row>
    <row r="24" spans="1:8" x14ac:dyDescent="0.3">
      <c r="A24" s="99" t="s">
        <v>613</v>
      </c>
      <c r="B24" s="100" t="s">
        <v>612</v>
      </c>
      <c r="C24" s="50" t="s">
        <v>614</v>
      </c>
      <c r="D24" s="103"/>
      <c r="E24" s="103">
        <v>277.39999999999998</v>
      </c>
      <c r="F24" s="103"/>
      <c r="G24" s="102">
        <f>G23-E24</f>
        <v>91522.6</v>
      </c>
      <c r="H24" s="104"/>
    </row>
    <row r="25" spans="1:8" x14ac:dyDescent="0.3">
      <c r="A25" s="99" t="s">
        <v>615</v>
      </c>
      <c r="B25" s="100" t="s">
        <v>616</v>
      </c>
      <c r="C25" s="50" t="s">
        <v>370</v>
      </c>
      <c r="D25" s="103"/>
      <c r="E25" s="103">
        <v>37230</v>
      </c>
      <c r="F25" s="103"/>
      <c r="G25" s="102">
        <f>G24-E25</f>
        <v>54292.600000000006</v>
      </c>
      <c r="H25" s="104"/>
    </row>
    <row r="26" spans="1:8" x14ac:dyDescent="0.3">
      <c r="A26" s="99" t="s">
        <v>741</v>
      </c>
      <c r="B26" s="100"/>
      <c r="C26" s="84" t="s">
        <v>747</v>
      </c>
      <c r="D26" s="261">
        <v>50000</v>
      </c>
      <c r="E26" s="103"/>
      <c r="F26" s="103"/>
      <c r="G26" s="102">
        <f>G25+D26</f>
        <v>104292.6</v>
      </c>
      <c r="H26" s="104"/>
    </row>
    <row r="27" spans="1:8" x14ac:dyDescent="0.3">
      <c r="A27" s="99"/>
      <c r="B27" s="100"/>
      <c r="C27" s="50"/>
      <c r="D27" s="103"/>
      <c r="E27" s="103"/>
      <c r="F27" s="103"/>
      <c r="G27" s="102"/>
      <c r="H27" s="104"/>
    </row>
    <row r="28" spans="1:8" x14ac:dyDescent="0.3">
      <c r="A28" s="99"/>
      <c r="B28" s="100"/>
      <c r="C28" s="84" t="s">
        <v>165</v>
      </c>
      <c r="D28" s="103">
        <v>150000</v>
      </c>
      <c r="E28" s="103"/>
      <c r="F28" s="103"/>
      <c r="G28" s="102">
        <f>D28</f>
        <v>150000</v>
      </c>
      <c r="H28" s="104" t="s">
        <v>114</v>
      </c>
    </row>
    <row r="29" spans="1:8" x14ac:dyDescent="0.3">
      <c r="A29" s="99" t="s">
        <v>210</v>
      </c>
      <c r="B29" s="100" t="s">
        <v>222</v>
      </c>
      <c r="C29" s="50" t="s">
        <v>223</v>
      </c>
      <c r="D29" s="103"/>
      <c r="E29" s="103">
        <v>9084.2999999999993</v>
      </c>
      <c r="F29" s="103"/>
      <c r="G29" s="102">
        <f>G28-E29</f>
        <v>140915.70000000001</v>
      </c>
      <c r="H29" s="104"/>
    </row>
    <row r="30" spans="1:8" x14ac:dyDescent="0.3">
      <c r="A30" s="99"/>
      <c r="B30" s="100" t="s">
        <v>224</v>
      </c>
      <c r="C30" s="50" t="s">
        <v>225</v>
      </c>
      <c r="D30" s="103"/>
      <c r="E30" s="103">
        <v>4606.3500000000004</v>
      </c>
      <c r="F30" s="103"/>
      <c r="G30" s="102">
        <f>G29-E30</f>
        <v>136309.35</v>
      </c>
      <c r="H30" s="104"/>
    </row>
    <row r="31" spans="1:8" x14ac:dyDescent="0.3">
      <c r="A31" s="99" t="s">
        <v>307</v>
      </c>
      <c r="B31" s="100" t="s">
        <v>313</v>
      </c>
      <c r="C31" s="50" t="s">
        <v>312</v>
      </c>
      <c r="D31" s="103"/>
      <c r="E31" s="103">
        <v>3228.19</v>
      </c>
      <c r="F31" s="103"/>
      <c r="G31" s="102">
        <f>G30-E31</f>
        <v>133081.16</v>
      </c>
      <c r="H31" s="104"/>
    </row>
    <row r="32" spans="1:8" x14ac:dyDescent="0.3">
      <c r="A32" s="99"/>
      <c r="B32" s="100"/>
      <c r="C32" s="50"/>
      <c r="D32" s="103"/>
      <c r="E32" s="103"/>
      <c r="F32" s="103"/>
      <c r="G32" s="102"/>
      <c r="H32" s="104"/>
    </row>
    <row r="33" spans="1:8" x14ac:dyDescent="0.3">
      <c r="A33" s="99"/>
      <c r="B33" s="100"/>
      <c r="C33" s="84" t="s">
        <v>166</v>
      </c>
      <c r="D33" s="103">
        <v>15000</v>
      </c>
      <c r="E33" s="103"/>
      <c r="F33" s="103"/>
      <c r="G33" s="102">
        <f>D33</f>
        <v>15000</v>
      </c>
      <c r="H33" s="104"/>
    </row>
    <row r="34" spans="1:8" x14ac:dyDescent="0.3">
      <c r="A34" s="99"/>
      <c r="B34" s="100"/>
      <c r="C34" s="50"/>
      <c r="D34" s="103"/>
      <c r="E34" s="103"/>
      <c r="F34" s="103"/>
      <c r="G34" s="102"/>
      <c r="H34" s="104"/>
    </row>
    <row r="35" spans="1:8" x14ac:dyDescent="0.3">
      <c r="A35" s="99"/>
      <c r="B35" s="100"/>
      <c r="C35" s="84" t="s">
        <v>124</v>
      </c>
      <c r="D35" s="103">
        <v>100000</v>
      </c>
      <c r="E35" s="103"/>
      <c r="F35" s="103"/>
      <c r="G35" s="102">
        <f>D35</f>
        <v>100000</v>
      </c>
      <c r="H35" s="104"/>
    </row>
    <row r="36" spans="1:8" x14ac:dyDescent="0.3">
      <c r="A36" s="99" t="s">
        <v>194</v>
      </c>
      <c r="B36" s="100" t="s">
        <v>208</v>
      </c>
      <c r="C36" s="50" t="s">
        <v>209</v>
      </c>
      <c r="D36" s="103"/>
      <c r="E36" s="103">
        <v>5850</v>
      </c>
      <c r="F36" s="103"/>
      <c r="G36" s="102">
        <f t="shared" ref="G36:G50" si="0">G35-E36</f>
        <v>94150</v>
      </c>
      <c r="H36" s="104"/>
    </row>
    <row r="37" spans="1:8" x14ac:dyDescent="0.3">
      <c r="A37" s="99" t="s">
        <v>210</v>
      </c>
      <c r="B37" s="100" t="s">
        <v>213</v>
      </c>
      <c r="C37" s="50" t="s">
        <v>214</v>
      </c>
      <c r="D37" s="103"/>
      <c r="E37" s="103">
        <v>1020</v>
      </c>
      <c r="F37" s="103"/>
      <c r="G37" s="102">
        <f t="shared" si="0"/>
        <v>93130</v>
      </c>
      <c r="H37" s="104"/>
    </row>
    <row r="38" spans="1:8" x14ac:dyDescent="0.3">
      <c r="A38" s="99"/>
      <c r="B38" s="100" t="s">
        <v>232</v>
      </c>
      <c r="C38" s="50" t="s">
        <v>221</v>
      </c>
      <c r="D38" s="103"/>
      <c r="E38" s="103">
        <v>1960</v>
      </c>
      <c r="F38" s="103"/>
      <c r="G38" s="102">
        <f t="shared" si="0"/>
        <v>91170</v>
      </c>
      <c r="H38" s="104"/>
    </row>
    <row r="39" spans="1:8" x14ac:dyDescent="0.3">
      <c r="A39" s="99" t="s">
        <v>230</v>
      </c>
      <c r="B39" s="100" t="s">
        <v>233</v>
      </c>
      <c r="C39" s="50" t="s">
        <v>234</v>
      </c>
      <c r="D39" s="103"/>
      <c r="E39" s="103">
        <v>8240</v>
      </c>
      <c r="F39" s="103"/>
      <c r="G39" s="102">
        <f t="shared" si="0"/>
        <v>82930</v>
      </c>
      <c r="H39" s="104"/>
    </row>
    <row r="40" spans="1:8" x14ac:dyDescent="0.3">
      <c r="A40" s="99" t="s">
        <v>235</v>
      </c>
      <c r="B40" s="100" t="s">
        <v>238</v>
      </c>
      <c r="C40" s="50" t="s">
        <v>239</v>
      </c>
      <c r="D40" s="103"/>
      <c r="E40" s="103">
        <v>1240</v>
      </c>
      <c r="F40" s="103"/>
      <c r="G40" s="102">
        <f t="shared" si="0"/>
        <v>81690</v>
      </c>
      <c r="H40" s="104"/>
    </row>
    <row r="41" spans="1:8" x14ac:dyDescent="0.3">
      <c r="A41" s="99" t="s">
        <v>255</v>
      </c>
      <c r="B41" s="100" t="s">
        <v>257</v>
      </c>
      <c r="C41" s="50" t="s">
        <v>258</v>
      </c>
      <c r="D41" s="103"/>
      <c r="E41" s="103">
        <v>3190</v>
      </c>
      <c r="F41" s="103"/>
      <c r="G41" s="102">
        <f t="shared" si="0"/>
        <v>78500</v>
      </c>
      <c r="H41" s="104"/>
    </row>
    <row r="42" spans="1:8" x14ac:dyDescent="0.3">
      <c r="A42" s="99"/>
      <c r="B42" s="100"/>
      <c r="C42" s="50"/>
      <c r="D42" s="103"/>
      <c r="E42" s="103"/>
      <c r="F42" s="103"/>
      <c r="G42" s="102">
        <f t="shared" si="0"/>
        <v>78500</v>
      </c>
      <c r="H42" s="104"/>
    </row>
    <row r="43" spans="1:8" x14ac:dyDescent="0.3">
      <c r="A43" s="99"/>
      <c r="B43" s="100" t="s">
        <v>288</v>
      </c>
      <c r="C43" s="50" t="s">
        <v>287</v>
      </c>
      <c r="D43" s="103"/>
      <c r="E43" s="103">
        <v>3900</v>
      </c>
      <c r="F43" s="103"/>
      <c r="G43" s="102">
        <f t="shared" si="0"/>
        <v>74600</v>
      </c>
      <c r="H43" s="104"/>
    </row>
    <row r="44" spans="1:8" x14ac:dyDescent="0.3">
      <c r="A44" s="99" t="s">
        <v>320</v>
      </c>
      <c r="B44" s="100" t="s">
        <v>319</v>
      </c>
      <c r="C44" s="50" t="s">
        <v>318</v>
      </c>
      <c r="D44" s="103"/>
      <c r="E44" s="103">
        <v>5150</v>
      </c>
      <c r="F44" s="103"/>
      <c r="G44" s="102">
        <f t="shared" si="0"/>
        <v>69450</v>
      </c>
      <c r="H44" s="104"/>
    </row>
    <row r="45" spans="1:8" x14ac:dyDescent="0.3">
      <c r="A45" s="99" t="s">
        <v>359</v>
      </c>
      <c r="B45" s="100" t="s">
        <v>367</v>
      </c>
      <c r="C45" s="50" t="s">
        <v>710</v>
      </c>
      <c r="D45" s="103"/>
      <c r="E45" s="103">
        <v>6810</v>
      </c>
      <c r="F45" s="103"/>
      <c r="G45" s="102">
        <f t="shared" si="0"/>
        <v>62640</v>
      </c>
      <c r="H45" s="104"/>
    </row>
    <row r="46" spans="1:8" x14ac:dyDescent="0.3">
      <c r="A46" s="99"/>
      <c r="B46" s="100" t="s">
        <v>368</v>
      </c>
      <c r="C46" s="50" t="s">
        <v>709</v>
      </c>
      <c r="D46" s="103"/>
      <c r="E46" s="103">
        <v>5150</v>
      </c>
      <c r="F46" s="103"/>
      <c r="G46" s="102">
        <f t="shared" si="0"/>
        <v>57490</v>
      </c>
      <c r="H46" s="104"/>
    </row>
    <row r="47" spans="1:8" x14ac:dyDescent="0.3">
      <c r="A47" s="99" t="s">
        <v>638</v>
      </c>
      <c r="B47" s="100" t="s">
        <v>641</v>
      </c>
      <c r="C47" s="50" t="s">
        <v>708</v>
      </c>
      <c r="D47" s="103"/>
      <c r="E47" s="103">
        <v>2060</v>
      </c>
      <c r="F47" s="103"/>
      <c r="G47" s="102">
        <f t="shared" si="0"/>
        <v>55430</v>
      </c>
      <c r="H47" s="104"/>
    </row>
    <row r="48" spans="1:8" x14ac:dyDescent="0.3">
      <c r="A48" s="99" t="s">
        <v>642</v>
      </c>
      <c r="B48" s="100" t="s">
        <v>706</v>
      </c>
      <c r="C48" s="50" t="s">
        <v>705</v>
      </c>
      <c r="D48" s="103"/>
      <c r="E48" s="103">
        <v>1440</v>
      </c>
      <c r="F48" s="103"/>
      <c r="G48" s="102">
        <f t="shared" si="0"/>
        <v>53990</v>
      </c>
      <c r="H48" s="104"/>
    </row>
    <row r="49" spans="1:8" x14ac:dyDescent="0.3">
      <c r="A49" s="99"/>
      <c r="B49" s="100" t="s">
        <v>707</v>
      </c>
      <c r="C49" s="50" t="s">
        <v>711</v>
      </c>
      <c r="D49" s="103"/>
      <c r="E49" s="103">
        <v>2400</v>
      </c>
      <c r="F49" s="103"/>
      <c r="G49" s="102">
        <f t="shared" si="0"/>
        <v>51590</v>
      </c>
      <c r="H49" s="104"/>
    </row>
    <row r="50" spans="1:8" x14ac:dyDescent="0.3">
      <c r="A50" s="99"/>
      <c r="B50" s="100" t="s">
        <v>713</v>
      </c>
      <c r="C50" s="50" t="s">
        <v>712</v>
      </c>
      <c r="D50" s="103"/>
      <c r="E50" s="103">
        <v>7340</v>
      </c>
      <c r="F50" s="103"/>
      <c r="G50" s="102">
        <f t="shared" si="0"/>
        <v>44250</v>
      </c>
      <c r="H50" s="104"/>
    </row>
    <row r="51" spans="1:8" x14ac:dyDescent="0.3">
      <c r="A51" s="99" t="s">
        <v>741</v>
      </c>
      <c r="B51" s="100"/>
      <c r="C51" s="84" t="s">
        <v>747</v>
      </c>
      <c r="D51" s="261">
        <v>30000</v>
      </c>
      <c r="E51" s="103"/>
      <c r="F51" s="103"/>
      <c r="G51" s="102">
        <f>G50+D51</f>
        <v>74250</v>
      </c>
      <c r="H51" s="104"/>
    </row>
    <row r="52" spans="1:8" x14ac:dyDescent="0.3">
      <c r="A52" s="99"/>
      <c r="B52" s="100"/>
      <c r="C52" s="50"/>
      <c r="D52" s="103"/>
      <c r="E52" s="103"/>
      <c r="F52" s="103"/>
      <c r="G52" s="102"/>
      <c r="H52" s="104"/>
    </row>
    <row r="53" spans="1:8" x14ac:dyDescent="0.3">
      <c r="A53" s="99"/>
      <c r="B53" s="100"/>
      <c r="C53" s="84" t="s">
        <v>120</v>
      </c>
      <c r="D53" s="103">
        <v>20000</v>
      </c>
      <c r="E53" s="103"/>
      <c r="F53" s="103"/>
      <c r="G53" s="102">
        <f>D53</f>
        <v>20000</v>
      </c>
      <c r="H53" s="104"/>
    </row>
    <row r="54" spans="1:8" x14ac:dyDescent="0.3">
      <c r="A54" s="99"/>
      <c r="B54" s="100"/>
      <c r="C54" s="233" t="s">
        <v>356</v>
      </c>
      <c r="D54" s="103">
        <v>-5000</v>
      </c>
      <c r="E54" s="103"/>
      <c r="F54" s="103"/>
      <c r="G54" s="102">
        <f>G53+D54</f>
        <v>15000</v>
      </c>
      <c r="H54" s="104"/>
    </row>
    <row r="55" spans="1:8" x14ac:dyDescent="0.3">
      <c r="A55" s="99"/>
      <c r="B55" s="100"/>
      <c r="C55" s="50"/>
      <c r="D55" s="103"/>
      <c r="E55" s="103"/>
      <c r="F55" s="103"/>
      <c r="G55" s="102"/>
      <c r="H55" s="104"/>
    </row>
    <row r="56" spans="1:8" x14ac:dyDescent="0.3">
      <c r="A56" s="99"/>
      <c r="B56" s="100"/>
      <c r="C56" s="84" t="s">
        <v>121</v>
      </c>
      <c r="D56" s="103">
        <v>30000</v>
      </c>
      <c r="E56" s="103"/>
      <c r="F56" s="103"/>
      <c r="G56" s="102">
        <f>D56</f>
        <v>30000</v>
      </c>
      <c r="H56" s="104"/>
    </row>
    <row r="57" spans="1:8" x14ac:dyDescent="0.3">
      <c r="A57" s="99" t="s">
        <v>179</v>
      </c>
      <c r="B57" s="100" t="s">
        <v>226</v>
      </c>
      <c r="C57" s="50" t="s">
        <v>227</v>
      </c>
      <c r="D57" s="103"/>
      <c r="E57" s="103">
        <v>5756.5</v>
      </c>
      <c r="F57" s="103"/>
      <c r="G57" s="102">
        <f>G56-E57</f>
        <v>24243.5</v>
      </c>
      <c r="H57" s="104"/>
    </row>
    <row r="58" spans="1:8" x14ac:dyDescent="0.3">
      <c r="A58" s="99" t="s">
        <v>320</v>
      </c>
      <c r="B58" s="100" t="s">
        <v>328</v>
      </c>
      <c r="C58" s="50" t="s">
        <v>329</v>
      </c>
      <c r="D58" s="103"/>
      <c r="E58" s="103">
        <v>8755</v>
      </c>
      <c r="F58" s="103"/>
      <c r="G58" s="102">
        <f>G57-E58</f>
        <v>15488.5</v>
      </c>
      <c r="H58" s="104"/>
    </row>
    <row r="59" spans="1:8" x14ac:dyDescent="0.3">
      <c r="A59" s="99" t="s">
        <v>667</v>
      </c>
      <c r="B59" s="100" t="s">
        <v>683</v>
      </c>
      <c r="C59" s="50" t="s">
        <v>682</v>
      </c>
      <c r="D59" s="103"/>
      <c r="E59" s="103">
        <v>2755</v>
      </c>
      <c r="F59" s="103"/>
      <c r="G59" s="102">
        <f>G58-E59</f>
        <v>12733.5</v>
      </c>
      <c r="H59" s="104"/>
    </row>
    <row r="60" spans="1:8" x14ac:dyDescent="0.3">
      <c r="A60" s="99" t="s">
        <v>741</v>
      </c>
      <c r="B60" s="100" t="s">
        <v>104</v>
      </c>
      <c r="C60" s="84" t="s">
        <v>747</v>
      </c>
      <c r="D60" s="261">
        <v>10000</v>
      </c>
      <c r="E60" s="103"/>
      <c r="F60" s="103"/>
      <c r="G60" s="102">
        <f>G59+D60</f>
        <v>22733.5</v>
      </c>
      <c r="H60" s="104"/>
    </row>
    <row r="61" spans="1:8" x14ac:dyDescent="0.3">
      <c r="A61" s="99"/>
      <c r="B61" s="100"/>
      <c r="C61" s="50"/>
      <c r="D61" s="261"/>
      <c r="E61" s="103"/>
      <c r="F61" s="103"/>
      <c r="G61" s="102"/>
      <c r="H61" s="104"/>
    </row>
    <row r="62" spans="1:8" x14ac:dyDescent="0.3">
      <c r="A62" s="99"/>
      <c r="B62" s="100"/>
      <c r="C62" s="84" t="s">
        <v>122</v>
      </c>
      <c r="D62" s="103">
        <v>6000</v>
      </c>
      <c r="E62" s="103"/>
      <c r="F62" s="103"/>
      <c r="G62" s="102">
        <f>D62</f>
        <v>6000</v>
      </c>
      <c r="H62" s="104"/>
    </row>
    <row r="63" spans="1:8" x14ac:dyDescent="0.3">
      <c r="A63" s="99"/>
      <c r="B63" s="100"/>
      <c r="C63" s="50"/>
      <c r="D63" s="103"/>
      <c r="E63" s="103"/>
      <c r="F63" s="103"/>
      <c r="G63" s="102"/>
      <c r="H63" s="104"/>
    </row>
    <row r="64" spans="1:8" x14ac:dyDescent="0.3">
      <c r="A64" s="99"/>
      <c r="B64" s="100"/>
      <c r="C64" s="84" t="s">
        <v>342</v>
      </c>
      <c r="D64" s="103">
        <v>29000</v>
      </c>
      <c r="E64" s="103"/>
      <c r="F64" s="103"/>
      <c r="G64" s="102">
        <f>D64</f>
        <v>29000</v>
      </c>
      <c r="H64" s="104"/>
    </row>
    <row r="65" spans="1:8" x14ac:dyDescent="0.3">
      <c r="A65" s="99" t="s">
        <v>338</v>
      </c>
      <c r="B65" s="100" t="s">
        <v>340</v>
      </c>
      <c r="C65" s="50" t="s">
        <v>341</v>
      </c>
      <c r="D65" s="103"/>
      <c r="E65" s="103">
        <v>7200</v>
      </c>
      <c r="F65" s="103"/>
      <c r="G65" s="108">
        <f>G64-E65</f>
        <v>21800</v>
      </c>
      <c r="H65" s="106"/>
    </row>
    <row r="66" spans="1:8" x14ac:dyDescent="0.3">
      <c r="A66" s="99" t="s">
        <v>738</v>
      </c>
      <c r="B66" s="100" t="s">
        <v>737</v>
      </c>
      <c r="C66" s="50" t="s">
        <v>739</v>
      </c>
      <c r="D66" s="103"/>
      <c r="E66" s="103">
        <v>7200</v>
      </c>
      <c r="F66" s="103"/>
      <c r="G66" s="108">
        <f>G65-E66</f>
        <v>14600</v>
      </c>
      <c r="H66" s="106" t="s">
        <v>740</v>
      </c>
    </row>
    <row r="67" spans="1:8" x14ac:dyDescent="0.3">
      <c r="A67" s="99" t="s">
        <v>741</v>
      </c>
      <c r="B67" s="100"/>
      <c r="C67" s="50" t="s">
        <v>747</v>
      </c>
      <c r="D67" s="261">
        <v>100000</v>
      </c>
      <c r="E67" s="103"/>
      <c r="F67" s="103"/>
      <c r="G67" s="108">
        <f>G66+D67</f>
        <v>114600</v>
      </c>
      <c r="H67" s="106"/>
    </row>
    <row r="68" spans="1:8" x14ac:dyDescent="0.3">
      <c r="A68" s="99"/>
      <c r="B68" s="100" t="s">
        <v>748</v>
      </c>
      <c r="C68" s="50" t="s">
        <v>749</v>
      </c>
      <c r="D68" s="261"/>
      <c r="E68" s="103">
        <v>112000</v>
      </c>
      <c r="F68" s="103"/>
      <c r="G68" s="108">
        <f>G67-E68</f>
        <v>2600</v>
      </c>
      <c r="H68" s="106"/>
    </row>
    <row r="69" spans="1:8" x14ac:dyDescent="0.3">
      <c r="A69" s="99"/>
      <c r="B69" s="100"/>
      <c r="C69" s="50"/>
      <c r="D69" s="261"/>
      <c r="E69" s="103"/>
      <c r="F69" s="103"/>
      <c r="G69" s="108"/>
      <c r="H69" s="106"/>
    </row>
    <row r="70" spans="1:8" x14ac:dyDescent="0.3">
      <c r="A70" s="99"/>
      <c r="B70" s="100"/>
      <c r="C70" s="84"/>
      <c r="D70" s="103"/>
      <c r="E70" s="103"/>
      <c r="F70" s="103"/>
      <c r="G70" s="108"/>
      <c r="H70" s="106"/>
    </row>
    <row r="71" spans="1:8" x14ac:dyDescent="0.3">
      <c r="A71" s="99"/>
      <c r="B71" s="100"/>
      <c r="C71" s="50"/>
      <c r="D71" s="109">
        <f>SUM(D7:D70)</f>
        <v>925000</v>
      </c>
      <c r="E71" s="109">
        <f>SUM(E7:E70)</f>
        <v>334182.74</v>
      </c>
      <c r="F71" s="109">
        <f>SUM(F7:F70)</f>
        <v>0</v>
      </c>
      <c r="G71" s="197">
        <f>D71-E71-F71</f>
        <v>590817.26</v>
      </c>
      <c r="H71" s="110"/>
    </row>
    <row r="72" spans="1:8" x14ac:dyDescent="0.3">
      <c r="A72" s="99"/>
      <c r="B72" s="100"/>
      <c r="C72" s="84" t="s">
        <v>123</v>
      </c>
      <c r="D72" s="153"/>
      <c r="E72" s="153"/>
      <c r="F72" s="153"/>
      <c r="G72" s="196"/>
      <c r="H72" s="162"/>
    </row>
    <row r="73" spans="1:8" x14ac:dyDescent="0.3">
      <c r="A73" s="99"/>
      <c r="B73" s="100"/>
      <c r="C73" s="50" t="s">
        <v>127</v>
      </c>
      <c r="D73" s="103">
        <v>15000</v>
      </c>
      <c r="E73" s="103"/>
      <c r="F73" s="103"/>
      <c r="G73" s="102">
        <v>15000</v>
      </c>
      <c r="H73" s="104"/>
    </row>
    <row r="74" spans="1:8" x14ac:dyDescent="0.3">
      <c r="A74" s="99" t="s">
        <v>210</v>
      </c>
      <c r="B74" s="100" t="s">
        <v>216</v>
      </c>
      <c r="C74" s="50" t="s">
        <v>590</v>
      </c>
      <c r="D74" s="103"/>
      <c r="E74" s="103">
        <v>6630.47</v>
      </c>
      <c r="F74" s="103"/>
      <c r="G74" s="102">
        <f>G73-E74</f>
        <v>8369.5299999999988</v>
      </c>
      <c r="H74" s="104"/>
    </row>
    <row r="75" spans="1:8" x14ac:dyDescent="0.3">
      <c r="A75" s="99"/>
      <c r="B75" s="100" t="s">
        <v>588</v>
      </c>
      <c r="C75" s="50" t="s">
        <v>589</v>
      </c>
      <c r="D75" s="103"/>
      <c r="E75" s="103">
        <v>3326.84</v>
      </c>
      <c r="F75" s="103"/>
      <c r="G75" s="102">
        <f>G74-E75</f>
        <v>5042.6899999999987</v>
      </c>
      <c r="H75" s="104"/>
    </row>
    <row r="76" spans="1:8" x14ac:dyDescent="0.3">
      <c r="A76" s="99" t="s">
        <v>622</v>
      </c>
      <c r="B76" s="100" t="s">
        <v>629</v>
      </c>
      <c r="C76" s="50" t="s">
        <v>628</v>
      </c>
      <c r="D76" s="103"/>
      <c r="E76" s="103">
        <v>4580.67</v>
      </c>
      <c r="F76" s="103"/>
      <c r="G76" s="102">
        <f>G75-E76</f>
        <v>462.01999999999862</v>
      </c>
      <c r="H76" s="104"/>
    </row>
    <row r="77" spans="1:8" x14ac:dyDescent="0.3">
      <c r="A77" s="99" t="s">
        <v>741</v>
      </c>
      <c r="B77" s="100"/>
      <c r="C77" s="84" t="s">
        <v>747</v>
      </c>
      <c r="D77" s="261">
        <v>15000</v>
      </c>
      <c r="E77" s="103"/>
      <c r="F77" s="103"/>
      <c r="G77" s="102">
        <f>G76+D77</f>
        <v>15462.019999999999</v>
      </c>
      <c r="H77" s="104"/>
    </row>
    <row r="78" spans="1:8" x14ac:dyDescent="0.3">
      <c r="A78" s="99"/>
      <c r="B78" s="100"/>
      <c r="C78" s="50"/>
      <c r="D78" s="261"/>
      <c r="E78" s="103"/>
      <c r="F78" s="103"/>
      <c r="G78" s="102"/>
      <c r="H78" s="104"/>
    </row>
    <row r="79" spans="1:8" x14ac:dyDescent="0.3">
      <c r="A79" s="99"/>
      <c r="B79" s="100"/>
      <c r="C79" s="50" t="s">
        <v>115</v>
      </c>
      <c r="D79" s="103">
        <v>255000</v>
      </c>
      <c r="E79" s="103"/>
      <c r="F79" s="103"/>
      <c r="G79" s="102">
        <f>D79</f>
        <v>255000</v>
      </c>
      <c r="H79" s="104"/>
    </row>
    <row r="80" spans="1:8" x14ac:dyDescent="0.3">
      <c r="A80" s="99" t="s">
        <v>194</v>
      </c>
      <c r="B80" s="100" t="s">
        <v>206</v>
      </c>
      <c r="C80" s="50" t="s">
        <v>207</v>
      </c>
      <c r="D80" s="103"/>
      <c r="E80" s="103">
        <v>76808.87</v>
      </c>
      <c r="F80" s="103"/>
      <c r="G80" s="102">
        <f>G79-E80</f>
        <v>178191.13</v>
      </c>
      <c r="H80" s="104"/>
    </row>
    <row r="81" spans="1:8" x14ac:dyDescent="0.3">
      <c r="A81" s="99" t="s">
        <v>735</v>
      </c>
      <c r="B81" s="100" t="s">
        <v>314</v>
      </c>
      <c r="C81" s="50" t="s">
        <v>315</v>
      </c>
      <c r="D81" s="103"/>
      <c r="E81" s="103">
        <v>83224.399999999994</v>
      </c>
      <c r="F81" s="103"/>
      <c r="G81" s="102">
        <f>G80-E81</f>
        <v>94966.73000000001</v>
      </c>
      <c r="H81" s="104"/>
    </row>
    <row r="82" spans="1:8" x14ac:dyDescent="0.3">
      <c r="A82" s="99" t="s">
        <v>622</v>
      </c>
      <c r="B82" s="100" t="s">
        <v>627</v>
      </c>
      <c r="C82" s="50" t="s">
        <v>628</v>
      </c>
      <c r="D82" s="103"/>
      <c r="E82" s="103">
        <v>60274.67</v>
      </c>
      <c r="F82" s="103"/>
      <c r="G82" s="102">
        <f>G81-E82</f>
        <v>34692.060000000012</v>
      </c>
      <c r="H82" s="104"/>
    </row>
    <row r="83" spans="1:8" x14ac:dyDescent="0.3">
      <c r="A83" s="99" t="s">
        <v>741</v>
      </c>
      <c r="B83" s="100"/>
      <c r="C83" s="84" t="s">
        <v>747</v>
      </c>
      <c r="D83" s="261">
        <v>250000</v>
      </c>
      <c r="E83" s="103"/>
      <c r="F83" s="103"/>
      <c r="G83" s="102">
        <f>G82+D83</f>
        <v>284692.06</v>
      </c>
      <c r="H83" s="104"/>
    </row>
    <row r="84" spans="1:8" x14ac:dyDescent="0.3">
      <c r="A84" s="99"/>
      <c r="B84" s="100"/>
      <c r="C84" s="50"/>
      <c r="D84" s="261"/>
      <c r="E84" s="103"/>
      <c r="F84" s="103"/>
      <c r="G84" s="102"/>
      <c r="H84" s="104"/>
    </row>
    <row r="85" spans="1:8" x14ac:dyDescent="0.3">
      <c r="A85" s="99"/>
      <c r="B85" s="100"/>
      <c r="C85" s="50" t="s">
        <v>116</v>
      </c>
      <c r="D85" s="103">
        <v>20000</v>
      </c>
      <c r="E85" s="103"/>
      <c r="F85" s="103"/>
      <c r="G85" s="102">
        <f>D85</f>
        <v>20000</v>
      </c>
      <c r="H85" s="104"/>
    </row>
    <row r="86" spans="1:8" x14ac:dyDescent="0.3">
      <c r="A86" s="99" t="s">
        <v>210</v>
      </c>
      <c r="B86" s="100" t="s">
        <v>217</v>
      </c>
      <c r="C86" s="50" t="s">
        <v>343</v>
      </c>
      <c r="D86" s="103"/>
      <c r="E86" s="103">
        <v>4863</v>
      </c>
      <c r="F86" s="103"/>
      <c r="G86" s="102">
        <f>G85-E86</f>
        <v>15137</v>
      </c>
      <c r="H86" s="104"/>
    </row>
    <row r="87" spans="1:8" x14ac:dyDescent="0.3">
      <c r="A87" s="99" t="s">
        <v>177</v>
      </c>
      <c r="B87" s="100" t="s">
        <v>345</v>
      </c>
      <c r="C87" s="50" t="s">
        <v>344</v>
      </c>
      <c r="D87" s="103"/>
      <c r="E87" s="103">
        <v>4290</v>
      </c>
      <c r="F87" s="103"/>
      <c r="G87" s="102">
        <f>G86-E87</f>
        <v>10847</v>
      </c>
      <c r="H87" s="104"/>
    </row>
    <row r="88" spans="1:8" x14ac:dyDescent="0.3">
      <c r="A88" s="99" t="s">
        <v>638</v>
      </c>
      <c r="B88" s="100" t="s">
        <v>637</v>
      </c>
      <c r="C88" s="50" t="s">
        <v>628</v>
      </c>
      <c r="D88" s="103"/>
      <c r="E88" s="103">
        <v>3084</v>
      </c>
      <c r="F88" s="103"/>
      <c r="G88" s="102">
        <f>G87-E88</f>
        <v>7763</v>
      </c>
      <c r="H88" s="104"/>
    </row>
    <row r="89" spans="1:8" x14ac:dyDescent="0.3">
      <c r="A89" s="99" t="s">
        <v>741</v>
      </c>
      <c r="B89" s="100"/>
      <c r="C89" s="84" t="s">
        <v>747</v>
      </c>
      <c r="D89" s="261">
        <v>10000</v>
      </c>
      <c r="E89" s="103"/>
      <c r="F89" s="103"/>
      <c r="G89" s="102">
        <f>G88+D89</f>
        <v>17763</v>
      </c>
      <c r="H89" s="104"/>
    </row>
    <row r="90" spans="1:8" x14ac:dyDescent="0.3">
      <c r="A90" s="99"/>
      <c r="B90" s="100"/>
      <c r="C90" s="50"/>
      <c r="D90" s="261"/>
      <c r="E90" s="103"/>
      <c r="F90" s="103"/>
      <c r="G90" s="102"/>
      <c r="H90" s="104"/>
    </row>
    <row r="91" spans="1:8" x14ac:dyDescent="0.3">
      <c r="A91" s="99"/>
      <c r="B91" s="100"/>
      <c r="C91" s="50" t="s">
        <v>119</v>
      </c>
      <c r="D91" s="103">
        <v>10000</v>
      </c>
      <c r="E91" s="103"/>
      <c r="F91" s="103"/>
      <c r="G91" s="102">
        <f>D91</f>
        <v>10000</v>
      </c>
      <c r="H91" s="104"/>
    </row>
    <row r="92" spans="1:8" x14ac:dyDescent="0.3">
      <c r="A92" s="105" t="s">
        <v>210</v>
      </c>
      <c r="B92" s="107" t="s">
        <v>215</v>
      </c>
      <c r="C92" s="50" t="s">
        <v>595</v>
      </c>
      <c r="D92" s="103"/>
      <c r="E92" s="103">
        <v>300.88</v>
      </c>
      <c r="F92" s="103"/>
      <c r="G92" s="102">
        <f>G91-E92</f>
        <v>9699.1200000000008</v>
      </c>
      <c r="H92" s="106"/>
    </row>
    <row r="93" spans="1:8" x14ac:dyDescent="0.3">
      <c r="A93" s="105" t="s">
        <v>564</v>
      </c>
      <c r="B93" s="107" t="s">
        <v>569</v>
      </c>
      <c r="C93" s="50" t="s">
        <v>568</v>
      </c>
      <c r="D93" s="103"/>
      <c r="E93" s="103">
        <v>693.26</v>
      </c>
      <c r="F93" s="103"/>
      <c r="G93" s="102">
        <f>G92-E93</f>
        <v>9005.86</v>
      </c>
      <c r="H93" s="106"/>
    </row>
    <row r="94" spans="1:8" x14ac:dyDescent="0.3">
      <c r="A94" s="105" t="s">
        <v>642</v>
      </c>
      <c r="B94" s="107" t="s">
        <v>644</v>
      </c>
      <c r="C94" s="50" t="s">
        <v>591</v>
      </c>
      <c r="D94" s="103"/>
      <c r="E94" s="103">
        <v>714.6</v>
      </c>
      <c r="F94" s="103"/>
      <c r="G94" s="102">
        <f>G93-E94</f>
        <v>8291.26</v>
      </c>
      <c r="H94" s="106"/>
    </row>
    <row r="95" spans="1:8" x14ac:dyDescent="0.3">
      <c r="A95" s="105"/>
      <c r="B95" s="107" t="s">
        <v>644</v>
      </c>
      <c r="C95" s="50" t="s">
        <v>643</v>
      </c>
      <c r="D95" s="103"/>
      <c r="E95" s="103">
        <v>807.1</v>
      </c>
      <c r="F95" s="103"/>
      <c r="G95" s="102">
        <f>G94-E95</f>
        <v>7484.16</v>
      </c>
      <c r="H95" s="106"/>
    </row>
    <row r="96" spans="1:8" x14ac:dyDescent="0.3">
      <c r="A96" s="105"/>
      <c r="B96" s="107"/>
      <c r="C96" s="50"/>
      <c r="D96" s="103"/>
      <c r="E96" s="103"/>
      <c r="F96" s="103"/>
      <c r="G96" s="102"/>
      <c r="H96" s="106"/>
    </row>
    <row r="97" spans="1:8" x14ac:dyDescent="0.3">
      <c r="A97" s="105"/>
      <c r="B97" s="107"/>
      <c r="C97" s="50"/>
      <c r="D97" s="103">
        <f>SUM(D73:D95)</f>
        <v>575000</v>
      </c>
      <c r="E97" s="103">
        <f>SUM(E73:E95)</f>
        <v>249598.76</v>
      </c>
      <c r="F97" s="103"/>
      <c r="G97" s="102">
        <f>D97-E97</f>
        <v>325401.24</v>
      </c>
      <c r="H97" s="106"/>
    </row>
    <row r="98" spans="1:8" x14ac:dyDescent="0.3">
      <c r="A98" s="105"/>
      <c r="B98" s="107"/>
      <c r="C98" s="50"/>
      <c r="D98" s="103"/>
      <c r="E98" s="103"/>
      <c r="F98" s="103"/>
      <c r="G98" s="102"/>
      <c r="H98" s="106"/>
    </row>
    <row r="99" spans="1:8" ht="19.5" thickBot="1" x14ac:dyDescent="0.35">
      <c r="A99" s="128"/>
      <c r="B99" s="129"/>
      <c r="C99" s="130" t="s">
        <v>135</v>
      </c>
      <c r="D99" s="131">
        <f>D97+D71</f>
        <v>1500000</v>
      </c>
      <c r="E99" s="131">
        <f>E97+E71</f>
        <v>583781.5</v>
      </c>
      <c r="F99" s="131">
        <f>SUM(F64:F98)</f>
        <v>0</v>
      </c>
      <c r="G99" s="225">
        <f>D99-E99-F99</f>
        <v>916218.5</v>
      </c>
      <c r="H99" s="132"/>
    </row>
    <row r="100" spans="1:8" ht="18" thickTop="1" x14ac:dyDescent="0.3"/>
  </sheetData>
  <pageMargins left="0.28999999999999998" right="0.25" top="0.37" bottom="0.28000000000000003" header="0.22" footer="0.1400000000000000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G25" sqref="G1:J1048576"/>
    </sheetView>
  </sheetViews>
  <sheetFormatPr defaultRowHeight="17.25" x14ac:dyDescent="0.3"/>
  <cols>
    <col min="1" max="1" width="25" style="28" customWidth="1"/>
    <col min="2" max="2" width="13" style="296" customWidth="1"/>
    <col min="3" max="3" width="14.140625" style="88" customWidth="1"/>
    <col min="4" max="4" width="15.140625" style="21" customWidth="1"/>
    <col min="5" max="5" width="10.5703125" style="21" customWidth="1"/>
    <col min="6" max="6" width="14.85546875" style="123" customWidth="1"/>
    <col min="7" max="7" width="9.140625" style="21"/>
    <col min="8" max="8" width="14.42578125" style="21" customWidth="1"/>
    <col min="9" max="9" width="11.28515625" style="21" customWidth="1"/>
    <col min="10" max="10" width="8" style="21" customWidth="1"/>
    <col min="11" max="16384" width="9.140625" style="21"/>
  </cols>
  <sheetData>
    <row r="1" spans="1:6" ht="18.75" x14ac:dyDescent="0.3">
      <c r="A1" s="73"/>
      <c r="B1" s="286"/>
      <c r="C1" s="87" t="s">
        <v>660</v>
      </c>
      <c r="D1" s="73"/>
      <c r="E1" s="73"/>
      <c r="F1" s="302"/>
    </row>
    <row r="2" spans="1:6" ht="18.75" x14ac:dyDescent="0.3">
      <c r="A2" s="73"/>
      <c r="B2" s="286"/>
      <c r="C2" s="87" t="s">
        <v>1172</v>
      </c>
      <c r="D2" s="73"/>
      <c r="E2" s="73"/>
      <c r="F2" s="302"/>
    </row>
    <row r="3" spans="1:6" ht="18.75" x14ac:dyDescent="0.3">
      <c r="A3" s="111" t="s">
        <v>14</v>
      </c>
      <c r="B3" s="287"/>
      <c r="C3" s="87"/>
      <c r="D3" s="73"/>
      <c r="E3" s="73"/>
      <c r="F3" s="302"/>
    </row>
    <row r="4" spans="1:6" ht="18.75" x14ac:dyDescent="0.3">
      <c r="A4" s="111"/>
      <c r="B4" s="287"/>
      <c r="C4" s="87"/>
      <c r="D4" s="73"/>
      <c r="E4" s="73"/>
      <c r="F4" s="302" t="s">
        <v>666</v>
      </c>
    </row>
    <row r="5" spans="1:6" x14ac:dyDescent="0.3">
      <c r="A5" s="91" t="s">
        <v>4</v>
      </c>
      <c r="B5" s="268" t="s">
        <v>1165</v>
      </c>
      <c r="C5" s="280"/>
      <c r="D5" s="281" t="s">
        <v>1167</v>
      </c>
      <c r="E5" s="282"/>
      <c r="F5" s="303" t="s">
        <v>1161</v>
      </c>
    </row>
    <row r="6" spans="1:6" x14ac:dyDescent="0.3">
      <c r="A6" s="95"/>
      <c r="B6" s="269" t="s">
        <v>1166</v>
      </c>
      <c r="C6" s="309" t="s">
        <v>659</v>
      </c>
      <c r="D6" s="309" t="s">
        <v>38</v>
      </c>
      <c r="E6" s="310" t="s">
        <v>2</v>
      </c>
      <c r="F6" s="304" t="s">
        <v>1162</v>
      </c>
    </row>
    <row r="7" spans="1:6" x14ac:dyDescent="0.3">
      <c r="A7" s="250" t="s">
        <v>647</v>
      </c>
      <c r="B7" s="288">
        <v>79420</v>
      </c>
      <c r="C7" s="153">
        <v>30000</v>
      </c>
      <c r="D7" s="153">
        <v>28580</v>
      </c>
      <c r="E7" s="196">
        <f>C7-D7</f>
        <v>1420</v>
      </c>
      <c r="F7" s="305">
        <v>50000</v>
      </c>
    </row>
    <row r="8" spans="1:6" x14ac:dyDescent="0.3">
      <c r="A8" s="104"/>
      <c r="B8" s="289"/>
      <c r="C8" s="103"/>
      <c r="D8" s="103"/>
      <c r="E8" s="102"/>
      <c r="F8" s="305"/>
    </row>
    <row r="9" spans="1:6" x14ac:dyDescent="0.3">
      <c r="A9" s="250" t="s">
        <v>648</v>
      </c>
      <c r="B9" s="288">
        <v>452000</v>
      </c>
      <c r="C9" s="103">
        <v>24500</v>
      </c>
      <c r="D9" s="103">
        <v>5000</v>
      </c>
      <c r="E9" s="102">
        <f>C9-D9</f>
        <v>19500</v>
      </c>
      <c r="F9" s="305">
        <v>350000</v>
      </c>
    </row>
    <row r="10" spans="1:6" x14ac:dyDescent="0.3">
      <c r="A10" s="106"/>
      <c r="B10" s="289"/>
      <c r="C10" s="108"/>
      <c r="D10" s="108"/>
      <c r="E10" s="102"/>
      <c r="F10" s="305"/>
    </row>
    <row r="11" spans="1:6" x14ac:dyDescent="0.3">
      <c r="A11" s="250" t="s">
        <v>649</v>
      </c>
      <c r="B11" s="288">
        <v>88580</v>
      </c>
      <c r="C11" s="283">
        <v>0</v>
      </c>
      <c r="D11" s="283">
        <v>0</v>
      </c>
      <c r="E11" s="266">
        <f>C11-D11</f>
        <v>0</v>
      </c>
      <c r="F11" s="305">
        <v>75000</v>
      </c>
    </row>
    <row r="12" spans="1:6" x14ac:dyDescent="0.3">
      <c r="A12" s="251"/>
      <c r="B12" s="290"/>
      <c r="C12" s="103"/>
      <c r="D12" s="103"/>
      <c r="E12" s="102"/>
      <c r="F12" s="305"/>
    </row>
    <row r="13" spans="1:6" x14ac:dyDescent="0.3">
      <c r="A13" s="250" t="s">
        <v>650</v>
      </c>
      <c r="B13" s="288">
        <v>389000</v>
      </c>
      <c r="C13" s="103">
        <v>173000</v>
      </c>
      <c r="D13" s="103">
        <v>172915.8</v>
      </c>
      <c r="E13" s="102">
        <f>C13-D13</f>
        <v>84.200000000011642</v>
      </c>
      <c r="F13" s="305">
        <v>215000</v>
      </c>
    </row>
    <row r="14" spans="1:6" x14ac:dyDescent="0.3">
      <c r="A14" s="104"/>
      <c r="B14" s="289"/>
      <c r="C14" s="103"/>
      <c r="D14" s="103"/>
      <c r="E14" s="102"/>
      <c r="F14" s="305"/>
    </row>
    <row r="15" spans="1:6" x14ac:dyDescent="0.3">
      <c r="A15" s="250" t="s">
        <v>651</v>
      </c>
      <c r="B15" s="288">
        <v>184500</v>
      </c>
      <c r="C15" s="103">
        <v>48000</v>
      </c>
      <c r="D15" s="103">
        <v>44709.06</v>
      </c>
      <c r="E15" s="102">
        <f>C15-D15</f>
        <v>3290.9400000000023</v>
      </c>
      <c r="F15" s="305">
        <v>80000</v>
      </c>
    </row>
    <row r="16" spans="1:6" x14ac:dyDescent="0.3">
      <c r="A16" s="250"/>
      <c r="B16" s="288"/>
      <c r="C16" s="103"/>
      <c r="D16" s="103"/>
      <c r="E16" s="102"/>
      <c r="F16" s="305"/>
    </row>
    <row r="17" spans="1:6" x14ac:dyDescent="0.3">
      <c r="A17" s="285" t="s">
        <v>652</v>
      </c>
      <c r="B17" s="288">
        <v>12990</v>
      </c>
      <c r="C17" s="103">
        <v>15000</v>
      </c>
      <c r="D17" s="103">
        <v>8875</v>
      </c>
      <c r="E17" s="102">
        <f>C17-D17</f>
        <v>6125</v>
      </c>
      <c r="F17" s="305">
        <v>0</v>
      </c>
    </row>
    <row r="18" spans="1:6" x14ac:dyDescent="0.3">
      <c r="A18" s="104"/>
      <c r="B18" s="289"/>
      <c r="C18" s="103"/>
      <c r="D18" s="108"/>
      <c r="E18" s="102"/>
      <c r="F18" s="305"/>
    </row>
    <row r="19" spans="1:6" x14ac:dyDescent="0.3">
      <c r="A19" s="250" t="s">
        <v>653</v>
      </c>
      <c r="B19" s="288">
        <v>239500</v>
      </c>
      <c r="C19" s="103">
        <v>90000</v>
      </c>
      <c r="D19" s="103">
        <v>80111</v>
      </c>
      <c r="E19" s="102">
        <f>C19-D19</f>
        <v>9889</v>
      </c>
      <c r="F19" s="305">
        <v>140000</v>
      </c>
    </row>
    <row r="20" spans="1:6" x14ac:dyDescent="0.3">
      <c r="A20" s="104"/>
      <c r="B20" s="161"/>
      <c r="C20" s="101"/>
      <c r="D20" s="101"/>
      <c r="E20" s="102"/>
      <c r="F20" s="305"/>
    </row>
    <row r="21" spans="1:6" x14ac:dyDescent="0.3">
      <c r="A21" s="250" t="s">
        <v>654</v>
      </c>
      <c r="B21" s="288">
        <v>7028</v>
      </c>
      <c r="C21" s="103">
        <v>5000</v>
      </c>
      <c r="D21" s="103">
        <v>0</v>
      </c>
      <c r="E21" s="102">
        <f>C21</f>
        <v>5000</v>
      </c>
      <c r="F21" s="305">
        <v>0</v>
      </c>
    </row>
    <row r="22" spans="1:6" x14ac:dyDescent="0.3">
      <c r="A22" s="104"/>
      <c r="B22" s="289"/>
      <c r="C22" s="103"/>
      <c r="D22" s="103"/>
      <c r="E22" s="102"/>
      <c r="F22" s="305"/>
    </row>
    <row r="23" spans="1:6" x14ac:dyDescent="0.3">
      <c r="A23" s="250" t="s">
        <v>655</v>
      </c>
      <c r="B23" s="288">
        <v>87950</v>
      </c>
      <c r="C23" s="103">
        <v>35000</v>
      </c>
      <c r="D23" s="103">
        <v>33726</v>
      </c>
      <c r="E23" s="102">
        <f t="shared" ref="E23:E28" si="0">C23-D23</f>
        <v>1274</v>
      </c>
      <c r="F23" s="305">
        <v>45000</v>
      </c>
    </row>
    <row r="24" spans="1:6" x14ac:dyDescent="0.3">
      <c r="A24" s="251"/>
      <c r="B24" s="290"/>
      <c r="C24" s="103"/>
      <c r="D24" s="103"/>
      <c r="E24" s="102">
        <f t="shared" si="0"/>
        <v>0</v>
      </c>
      <c r="F24" s="305"/>
    </row>
    <row r="25" spans="1:6" x14ac:dyDescent="0.3">
      <c r="A25" s="250" t="s">
        <v>656</v>
      </c>
      <c r="B25" s="288">
        <v>6600</v>
      </c>
      <c r="C25" s="103">
        <v>6000</v>
      </c>
      <c r="D25" s="103">
        <v>5374.61</v>
      </c>
      <c r="E25" s="102">
        <f t="shared" si="0"/>
        <v>625.39000000000033</v>
      </c>
      <c r="F25" s="305">
        <v>0</v>
      </c>
    </row>
    <row r="26" spans="1:6" x14ac:dyDescent="0.3">
      <c r="A26" s="104"/>
      <c r="B26" s="289"/>
      <c r="C26" s="103"/>
      <c r="D26" s="103"/>
      <c r="E26" s="102">
        <f t="shared" si="0"/>
        <v>0</v>
      </c>
      <c r="F26" s="305"/>
    </row>
    <row r="27" spans="1:6" x14ac:dyDescent="0.3">
      <c r="A27" s="284" t="s">
        <v>657</v>
      </c>
      <c r="B27" s="288">
        <v>5160</v>
      </c>
      <c r="C27" s="103">
        <v>69000</v>
      </c>
      <c r="D27" s="103">
        <v>61632</v>
      </c>
      <c r="E27" s="102">
        <f t="shared" si="0"/>
        <v>7368</v>
      </c>
      <c r="F27" s="305">
        <v>0</v>
      </c>
    </row>
    <row r="28" spans="1:6" x14ac:dyDescent="0.3">
      <c r="A28" s="250"/>
      <c r="B28" s="288"/>
      <c r="C28" s="103"/>
      <c r="D28" s="103"/>
      <c r="E28" s="102">
        <f t="shared" si="0"/>
        <v>0</v>
      </c>
      <c r="F28" s="288"/>
    </row>
    <row r="29" spans="1:6" x14ac:dyDescent="0.3">
      <c r="A29" s="250"/>
      <c r="B29" s="288"/>
      <c r="C29" s="103"/>
      <c r="D29" s="103"/>
      <c r="E29" s="108"/>
      <c r="F29" s="288"/>
    </row>
    <row r="30" spans="1:6" x14ac:dyDescent="0.3">
      <c r="A30" s="104" t="s">
        <v>658</v>
      </c>
      <c r="B30" s="109">
        <f>SUM(B7:B29)</f>
        <v>1552728</v>
      </c>
      <c r="C30" s="109">
        <f>SUM(C7:C29)</f>
        <v>495500</v>
      </c>
      <c r="D30" s="109">
        <f>SUM(D7:D29)</f>
        <v>440923.47</v>
      </c>
      <c r="E30" s="197">
        <f>C30-D30</f>
        <v>54576.530000000028</v>
      </c>
      <c r="F30" s="306">
        <f>SUM(F7:F29)</f>
        <v>955000</v>
      </c>
    </row>
    <row r="31" spans="1:6" x14ac:dyDescent="0.3">
      <c r="A31" s="250" t="s">
        <v>661</v>
      </c>
      <c r="B31" s="291"/>
      <c r="C31" s="153"/>
      <c r="D31" s="153"/>
      <c r="E31" s="196"/>
      <c r="F31" s="307"/>
    </row>
    <row r="32" spans="1:6" x14ac:dyDescent="0.3">
      <c r="A32" s="104" t="s">
        <v>662</v>
      </c>
      <c r="B32" s="289">
        <v>52960</v>
      </c>
      <c r="C32" s="103">
        <v>29640</v>
      </c>
      <c r="D32" s="103">
        <f>25138.9+4464.58</f>
        <v>29603.480000000003</v>
      </c>
      <c r="E32" s="102">
        <f>C32-D32</f>
        <v>36.519999999996799</v>
      </c>
      <c r="F32" s="305">
        <v>30000</v>
      </c>
    </row>
    <row r="33" spans="1:8" x14ac:dyDescent="0.3">
      <c r="A33" s="104"/>
      <c r="B33" s="289"/>
      <c r="C33" s="103"/>
      <c r="D33" s="103"/>
      <c r="E33" s="102"/>
      <c r="F33" s="305"/>
    </row>
    <row r="34" spans="1:8" x14ac:dyDescent="0.3">
      <c r="A34" s="104" t="s">
        <v>663</v>
      </c>
      <c r="B34" s="289">
        <v>905098.51</v>
      </c>
      <c r="C34" s="103">
        <v>418700</v>
      </c>
      <c r="D34" s="103">
        <f>331406.94+87263.82</f>
        <v>418670.76</v>
      </c>
      <c r="E34" s="102">
        <f>C34-D34</f>
        <v>29.239999999990687</v>
      </c>
      <c r="F34" s="305">
        <v>455000</v>
      </c>
    </row>
    <row r="35" spans="1:8" x14ac:dyDescent="0.3">
      <c r="A35" s="104"/>
      <c r="B35" s="289"/>
      <c r="C35" s="103"/>
      <c r="D35" s="103"/>
      <c r="E35" s="102">
        <f>C35-D35</f>
        <v>0</v>
      </c>
      <c r="F35" s="305"/>
    </row>
    <row r="36" spans="1:8" x14ac:dyDescent="0.3">
      <c r="A36" s="104" t="s">
        <v>664</v>
      </c>
      <c r="B36" s="289">
        <v>70108</v>
      </c>
      <c r="C36" s="103">
        <v>46300</v>
      </c>
      <c r="D36" s="103">
        <f>43714+2584</f>
        <v>46298</v>
      </c>
      <c r="E36" s="102">
        <f>C36-D36</f>
        <v>2</v>
      </c>
      <c r="F36" s="305">
        <v>40000</v>
      </c>
    </row>
    <row r="37" spans="1:8" x14ac:dyDescent="0.3">
      <c r="A37" s="104"/>
      <c r="B37" s="289"/>
      <c r="C37" s="103"/>
      <c r="D37" s="103"/>
      <c r="E37" s="102"/>
      <c r="F37" s="305"/>
    </row>
    <row r="38" spans="1:8" x14ac:dyDescent="0.3">
      <c r="A38" s="104" t="s">
        <v>665</v>
      </c>
      <c r="B38" s="289">
        <v>61652.65</v>
      </c>
      <c r="C38" s="103">
        <v>9860</v>
      </c>
      <c r="D38" s="103">
        <v>3977.55</v>
      </c>
      <c r="E38" s="102">
        <f>C38-D38</f>
        <v>5882.45</v>
      </c>
      <c r="F38" s="305">
        <v>20000</v>
      </c>
    </row>
    <row r="39" spans="1:8" x14ac:dyDescent="0.3">
      <c r="A39" s="106"/>
      <c r="B39" s="289"/>
      <c r="C39" s="103"/>
      <c r="D39" s="103"/>
      <c r="E39" s="108"/>
      <c r="F39" s="288"/>
    </row>
    <row r="40" spans="1:8" x14ac:dyDescent="0.3">
      <c r="A40" s="110" t="s">
        <v>1168</v>
      </c>
      <c r="B40" s="292">
        <f>SUM(B32:B39)</f>
        <v>1089819.1599999999</v>
      </c>
      <c r="C40" s="109">
        <f>SUM(C32:C39)</f>
        <v>504500</v>
      </c>
      <c r="D40" s="109">
        <f>SUM(D32:D39)</f>
        <v>498549.79</v>
      </c>
      <c r="E40" s="197">
        <f>C40-D40</f>
        <v>5950.210000000021</v>
      </c>
      <c r="F40" s="306">
        <f>SUM(F32:F39)</f>
        <v>545000</v>
      </c>
    </row>
    <row r="41" spans="1:8" x14ac:dyDescent="0.3">
      <c r="A41" s="104"/>
      <c r="B41" s="289"/>
      <c r="C41" s="103"/>
      <c r="D41" s="103"/>
      <c r="E41" s="102"/>
      <c r="F41" s="288"/>
    </row>
    <row r="42" spans="1:8" ht="18" thickBot="1" x14ac:dyDescent="0.35">
      <c r="A42" s="252" t="s">
        <v>960</v>
      </c>
      <c r="B42" s="270">
        <f>B30+B40</f>
        <v>2642547.16</v>
      </c>
      <c r="C42" s="131">
        <f>C30+C40</f>
        <v>1000000</v>
      </c>
      <c r="D42" s="253">
        <f>D30+D40</f>
        <v>939473.26</v>
      </c>
      <c r="E42" s="225">
        <f>C42-D42</f>
        <v>60526.739999999991</v>
      </c>
      <c r="F42" s="308">
        <f>F30+F40</f>
        <v>1500000</v>
      </c>
    </row>
    <row r="43" spans="1:8" ht="20.25" customHeight="1" thickTop="1" x14ac:dyDescent="0.3">
      <c r="A43" s="157"/>
      <c r="B43" s="293"/>
      <c r="C43" s="157"/>
      <c r="D43" s="187"/>
      <c r="E43" s="254"/>
      <c r="F43" s="297"/>
    </row>
    <row r="44" spans="1:8" ht="18.75" x14ac:dyDescent="0.3">
      <c r="A44" s="157"/>
      <c r="B44" s="293"/>
      <c r="C44" s="157"/>
      <c r="D44" s="187"/>
      <c r="E44" s="254"/>
      <c r="F44" s="297"/>
    </row>
    <row r="45" spans="1:8" ht="18.75" x14ac:dyDescent="0.3">
      <c r="A45" s="157"/>
      <c r="B45" s="293"/>
      <c r="C45" s="157"/>
      <c r="D45" s="187"/>
      <c r="E45" s="254"/>
      <c r="F45" s="297"/>
    </row>
    <row r="46" spans="1:8" ht="18.75" x14ac:dyDescent="0.3">
      <c r="A46" s="256"/>
      <c r="B46" s="294"/>
      <c r="C46" s="157"/>
      <c r="D46" s="187"/>
      <c r="E46" s="255"/>
      <c r="F46" s="297"/>
      <c r="H46" s="123"/>
    </row>
    <row r="47" spans="1:8" x14ac:dyDescent="0.3">
      <c r="A47" s="256"/>
      <c r="B47" s="294"/>
      <c r="C47" s="157"/>
      <c r="D47" s="257"/>
      <c r="E47" s="258"/>
      <c r="F47" s="298"/>
      <c r="H47" s="123"/>
    </row>
    <row r="48" spans="1:8" x14ac:dyDescent="0.3">
      <c r="A48" s="137"/>
      <c r="B48" s="295"/>
      <c r="C48" s="150"/>
      <c r="D48" s="134"/>
      <c r="E48" s="259"/>
      <c r="F48" s="299"/>
      <c r="H48" s="123"/>
    </row>
    <row r="49" spans="3:10" ht="18.75" x14ac:dyDescent="0.3">
      <c r="E49" s="232"/>
      <c r="F49" s="300"/>
    </row>
    <row r="50" spans="3:10" ht="18.75" x14ac:dyDescent="0.3">
      <c r="E50" s="2"/>
      <c r="F50" s="300"/>
    </row>
    <row r="51" spans="3:10" ht="18.75" x14ac:dyDescent="0.3">
      <c r="E51" s="1"/>
    </row>
    <row r="52" spans="3:10" ht="18.75" x14ac:dyDescent="0.3">
      <c r="C52" s="150"/>
      <c r="D52" s="134"/>
      <c r="E52" s="65"/>
      <c r="F52" s="301"/>
      <c r="I52" s="136"/>
      <c r="J52" s="28"/>
    </row>
    <row r="53" spans="3:10" ht="18.75" x14ac:dyDescent="0.3">
      <c r="C53" s="150"/>
      <c r="D53" s="134"/>
      <c r="E53" s="65"/>
      <c r="F53" s="301"/>
      <c r="I53" s="136"/>
      <c r="J53" s="28"/>
    </row>
    <row r="54" spans="3:10" ht="18" thickBot="1" x14ac:dyDescent="0.35">
      <c r="C54" s="150"/>
      <c r="D54" s="134"/>
      <c r="E54" s="138"/>
      <c r="F54" s="301"/>
      <c r="I54" s="136"/>
      <c r="J54" s="28"/>
    </row>
    <row r="55" spans="3:10" ht="19.5" thickBot="1" x14ac:dyDescent="0.35">
      <c r="C55" s="150"/>
      <c r="D55" s="134"/>
      <c r="E55" s="65"/>
      <c r="F55" s="301"/>
      <c r="I55" s="139"/>
      <c r="J55" s="28"/>
    </row>
    <row r="56" spans="3:10" x14ac:dyDescent="0.3">
      <c r="C56" s="150"/>
      <c r="D56" s="134"/>
      <c r="E56" s="140"/>
      <c r="F56" s="301"/>
      <c r="I56" s="141"/>
      <c r="J56" s="28"/>
    </row>
  </sheetData>
  <pageMargins left="0.67" right="0.15" top="0.45" bottom="0.61" header="0.36" footer="0.4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22" workbookViewId="0">
      <selection activeCell="N34" sqref="N34"/>
    </sheetView>
  </sheetViews>
  <sheetFormatPr defaultRowHeight="17.25" x14ac:dyDescent="0.3"/>
  <cols>
    <col min="1" max="1" width="7.28515625" style="28" customWidth="1"/>
    <col min="2" max="2" width="8.7109375" style="88" customWidth="1"/>
    <col min="3" max="3" width="35.140625" style="21" customWidth="1"/>
    <col min="4" max="4" width="11.28515625" style="21" customWidth="1"/>
    <col min="5" max="5" width="9.5703125" style="21" customWidth="1"/>
    <col min="6" max="6" width="7.7109375" style="21" customWidth="1"/>
    <col min="7" max="7" width="11.28515625" style="21" customWidth="1"/>
    <col min="8" max="8" width="9.140625" style="28" customWidth="1"/>
    <col min="9" max="9" width="9.140625" style="21"/>
    <col min="10" max="10" width="14.42578125" style="21" customWidth="1"/>
    <col min="11" max="11" width="11.28515625" style="21" customWidth="1"/>
    <col min="12" max="12" width="8" style="21" customWidth="1"/>
    <col min="13" max="16384" width="9.140625" style="21"/>
  </cols>
  <sheetData>
    <row r="1" spans="1:8" ht="18.75" x14ac:dyDescent="0.3">
      <c r="A1" s="334" t="s">
        <v>136</v>
      </c>
      <c r="B1" s="334"/>
      <c r="C1" s="334"/>
      <c r="D1" s="334"/>
      <c r="E1" s="334"/>
      <c r="F1" s="334"/>
      <c r="G1" s="334"/>
      <c r="H1" s="111" t="s">
        <v>140</v>
      </c>
    </row>
    <row r="2" spans="1:8" ht="18.75" x14ac:dyDescent="0.3">
      <c r="A2" s="334" t="s">
        <v>1542</v>
      </c>
      <c r="B2" s="334"/>
      <c r="C2" s="334"/>
      <c r="D2" s="334"/>
      <c r="E2" s="334"/>
      <c r="F2" s="334"/>
      <c r="G2" s="334"/>
      <c r="H2" s="111"/>
    </row>
    <row r="3" spans="1:8" ht="18.75" x14ac:dyDescent="0.3">
      <c r="A3" s="111" t="s">
        <v>14</v>
      </c>
      <c r="B3" s="87"/>
      <c r="C3" s="73"/>
      <c r="D3" s="73"/>
      <c r="E3" s="73"/>
      <c r="F3" s="73"/>
      <c r="G3" s="87" t="s">
        <v>141</v>
      </c>
      <c r="H3" s="87" t="s">
        <v>142</v>
      </c>
    </row>
    <row r="4" spans="1:8" ht="18.75" x14ac:dyDescent="0.3">
      <c r="A4" s="112" t="s">
        <v>16</v>
      </c>
      <c r="B4" s="90" t="s">
        <v>12</v>
      </c>
      <c r="C4" s="75" t="s">
        <v>4</v>
      </c>
      <c r="D4" s="76" t="s">
        <v>24</v>
      </c>
      <c r="E4" s="113" t="s">
        <v>1</v>
      </c>
      <c r="F4" s="113" t="s">
        <v>106</v>
      </c>
      <c r="G4" s="76" t="s">
        <v>2</v>
      </c>
      <c r="H4" s="114" t="s">
        <v>3</v>
      </c>
    </row>
    <row r="5" spans="1:8" ht="18.75" x14ac:dyDescent="0.3">
      <c r="A5" s="115"/>
      <c r="B5" s="94"/>
      <c r="C5" s="78"/>
      <c r="D5" s="79"/>
      <c r="E5" s="116"/>
      <c r="F5" s="116" t="s">
        <v>31</v>
      </c>
      <c r="G5" s="79"/>
      <c r="H5" s="117" t="s">
        <v>17</v>
      </c>
    </row>
    <row r="6" spans="1:8" ht="18.75" x14ac:dyDescent="0.3">
      <c r="A6" s="99" t="s">
        <v>148</v>
      </c>
      <c r="B6" s="100" t="s">
        <v>149</v>
      </c>
      <c r="C6" s="50" t="s">
        <v>137</v>
      </c>
      <c r="D6" s="119">
        <v>700000</v>
      </c>
      <c r="E6" s="83"/>
      <c r="F6" s="120"/>
      <c r="G6" s="120">
        <f>D6</f>
        <v>700000</v>
      </c>
      <c r="H6" s="85"/>
    </row>
    <row r="7" spans="1:8" ht="18.75" x14ac:dyDescent="0.3">
      <c r="A7" s="263" t="s">
        <v>667</v>
      </c>
      <c r="B7" s="247" t="s">
        <v>780</v>
      </c>
      <c r="C7" s="50" t="s">
        <v>781</v>
      </c>
      <c r="D7" s="119">
        <v>700000</v>
      </c>
      <c r="E7" s="83"/>
      <c r="F7" s="120"/>
      <c r="G7" s="120">
        <f>G6+D7</f>
        <v>1400000</v>
      </c>
      <c r="H7" s="85"/>
    </row>
    <row r="8" spans="1:8" ht="18.75" x14ac:dyDescent="0.3">
      <c r="A8" s="263"/>
      <c r="B8" s="247"/>
      <c r="C8" s="50"/>
      <c r="D8" s="119"/>
      <c r="E8" s="83"/>
      <c r="F8" s="120"/>
      <c r="G8" s="120"/>
      <c r="H8" s="85"/>
    </row>
    <row r="9" spans="1:8" ht="18.75" x14ac:dyDescent="0.3">
      <c r="A9" s="99"/>
      <c r="B9" s="100">
        <v>1</v>
      </c>
      <c r="C9" s="50" t="s">
        <v>270</v>
      </c>
      <c r="D9" s="119">
        <v>434290</v>
      </c>
      <c r="E9" s="83"/>
      <c r="F9" s="120"/>
      <c r="G9" s="120">
        <f>D9</f>
        <v>434290</v>
      </c>
      <c r="H9" s="85" t="s">
        <v>271</v>
      </c>
    </row>
    <row r="10" spans="1:8" ht="18.75" x14ac:dyDescent="0.3">
      <c r="A10" s="118" t="s">
        <v>230</v>
      </c>
      <c r="B10" s="100" t="s">
        <v>229</v>
      </c>
      <c r="C10" s="50" t="s">
        <v>231</v>
      </c>
      <c r="D10" s="119"/>
      <c r="E10" s="120">
        <v>247810</v>
      </c>
      <c r="F10" s="120"/>
      <c r="G10" s="120">
        <f>G9-E10</f>
        <v>186480</v>
      </c>
      <c r="H10" s="85"/>
    </row>
    <row r="11" spans="1:8" ht="18.75" x14ac:dyDescent="0.3">
      <c r="A11" s="118" t="s">
        <v>261</v>
      </c>
      <c r="B11" s="100" t="s">
        <v>262</v>
      </c>
      <c r="C11" s="50" t="s">
        <v>260</v>
      </c>
      <c r="D11" s="119"/>
      <c r="E11" s="120">
        <v>11450</v>
      </c>
      <c r="F11" s="120"/>
      <c r="G11" s="120">
        <f>G10-E11</f>
        <v>175030</v>
      </c>
      <c r="H11" s="85"/>
    </row>
    <row r="12" spans="1:8" ht="18.75" x14ac:dyDescent="0.3">
      <c r="A12" s="118"/>
      <c r="B12" s="100" t="s">
        <v>263</v>
      </c>
      <c r="C12" s="50" t="s">
        <v>260</v>
      </c>
      <c r="D12" s="83"/>
      <c r="E12" s="120">
        <v>17717</v>
      </c>
      <c r="F12" s="120"/>
      <c r="G12" s="120">
        <f>G11-E12</f>
        <v>157313</v>
      </c>
      <c r="H12" s="85"/>
    </row>
    <row r="13" spans="1:8" ht="18.75" x14ac:dyDescent="0.3">
      <c r="A13" s="118" t="s">
        <v>307</v>
      </c>
      <c r="B13" s="100" t="s">
        <v>310</v>
      </c>
      <c r="C13" s="50" t="s">
        <v>311</v>
      </c>
      <c r="D13" s="119"/>
      <c r="E13" s="120">
        <v>16400</v>
      </c>
      <c r="F13" s="120"/>
      <c r="G13" s="120">
        <f>G12-E13</f>
        <v>140913</v>
      </c>
      <c r="H13" s="85"/>
    </row>
    <row r="14" spans="1:8" ht="18.75" x14ac:dyDescent="0.3">
      <c r="A14" s="118" t="s">
        <v>298</v>
      </c>
      <c r="B14" s="100" t="s">
        <v>316</v>
      </c>
      <c r="C14" s="50" t="s">
        <v>317</v>
      </c>
      <c r="D14" s="119"/>
      <c r="E14" s="120">
        <v>22975</v>
      </c>
      <c r="F14" s="120"/>
      <c r="G14" s="120">
        <f>G13-E14</f>
        <v>117938</v>
      </c>
      <c r="H14" s="85"/>
    </row>
    <row r="15" spans="1:8" ht="18.75" x14ac:dyDescent="0.3">
      <c r="A15" s="118" t="s">
        <v>349</v>
      </c>
      <c r="B15" s="100" t="s">
        <v>353</v>
      </c>
      <c r="C15" s="50" t="s">
        <v>335</v>
      </c>
      <c r="D15" s="119"/>
      <c r="E15" s="120">
        <v>48000</v>
      </c>
      <c r="F15" s="146"/>
      <c r="G15" s="120">
        <f>G14-E15-F15</f>
        <v>69938</v>
      </c>
      <c r="H15" s="85"/>
    </row>
    <row r="16" spans="1:8" ht="18.75" x14ac:dyDescent="0.3">
      <c r="A16" s="118" t="s">
        <v>354</v>
      </c>
      <c r="B16" s="100" t="s">
        <v>355</v>
      </c>
      <c r="C16" s="50" t="s">
        <v>847</v>
      </c>
      <c r="D16" s="119"/>
      <c r="E16" s="120">
        <v>46520</v>
      </c>
      <c r="F16" s="120"/>
      <c r="G16" s="120">
        <f>G15-E16-F16</f>
        <v>23418</v>
      </c>
      <c r="H16" s="85">
        <v>15420</v>
      </c>
    </row>
    <row r="17" spans="1:8" ht="18.75" x14ac:dyDescent="0.3">
      <c r="A17" s="99"/>
      <c r="B17" s="100"/>
      <c r="C17" s="50" t="s">
        <v>848</v>
      </c>
      <c r="D17" s="119"/>
      <c r="E17" s="120">
        <v>-15420</v>
      </c>
      <c r="F17" s="120"/>
      <c r="G17" s="120">
        <f>G16-E17-F17</f>
        <v>38838</v>
      </c>
      <c r="H17" s="85"/>
    </row>
    <row r="18" spans="1:8" ht="18.75" x14ac:dyDescent="0.3">
      <c r="A18" s="99"/>
      <c r="B18" s="100"/>
      <c r="C18" s="50" t="s">
        <v>849</v>
      </c>
      <c r="D18" s="120">
        <v>-38838</v>
      </c>
      <c r="E18" s="120"/>
      <c r="F18" s="120"/>
      <c r="G18" s="120">
        <f>G17+D18</f>
        <v>0</v>
      </c>
      <c r="H18" s="85"/>
    </row>
    <row r="19" spans="1:8" ht="18.75" x14ac:dyDescent="0.3">
      <c r="A19" s="99"/>
      <c r="B19" s="100"/>
      <c r="C19" s="50"/>
      <c r="D19" s="120"/>
      <c r="E19" s="120"/>
      <c r="F19" s="120"/>
      <c r="G19" s="120"/>
      <c r="H19" s="85"/>
    </row>
    <row r="20" spans="1:8" ht="18.75" x14ac:dyDescent="0.3">
      <c r="A20" s="99"/>
      <c r="B20" s="100">
        <v>2</v>
      </c>
      <c r="C20" s="50" t="s">
        <v>272</v>
      </c>
      <c r="D20" s="119">
        <v>100000</v>
      </c>
      <c r="E20" s="83"/>
      <c r="F20" s="120"/>
      <c r="G20" s="120">
        <f>D20</f>
        <v>100000</v>
      </c>
      <c r="H20" s="85" t="s">
        <v>23</v>
      </c>
    </row>
    <row r="21" spans="1:8" ht="18.75" x14ac:dyDescent="0.3">
      <c r="A21" s="99" t="s">
        <v>210</v>
      </c>
      <c r="B21" s="100" t="s">
        <v>228</v>
      </c>
      <c r="C21" s="50" t="s">
        <v>218</v>
      </c>
      <c r="D21" s="119"/>
      <c r="E21" s="120">
        <v>12288</v>
      </c>
      <c r="F21" s="120"/>
      <c r="G21" s="120">
        <f t="shared" ref="G21:G35" si="0">G20-E21</f>
        <v>87712</v>
      </c>
      <c r="H21" s="85"/>
    </row>
    <row r="22" spans="1:8" ht="18.75" x14ac:dyDescent="0.3">
      <c r="A22" s="118" t="s">
        <v>202</v>
      </c>
      <c r="B22" s="100" t="s">
        <v>244</v>
      </c>
      <c r="C22" s="50" t="s">
        <v>243</v>
      </c>
      <c r="D22" s="83"/>
      <c r="E22" s="120">
        <v>10812</v>
      </c>
      <c r="F22" s="120"/>
      <c r="G22" s="120">
        <f t="shared" si="0"/>
        <v>76900</v>
      </c>
      <c r="H22" s="85"/>
    </row>
    <row r="23" spans="1:8" ht="18.75" x14ac:dyDescent="0.3">
      <c r="A23" s="118" t="s">
        <v>598</v>
      </c>
      <c r="B23" s="100" t="s">
        <v>600</v>
      </c>
      <c r="C23" s="50" t="s">
        <v>620</v>
      </c>
      <c r="D23" s="119"/>
      <c r="E23" s="120">
        <v>1080</v>
      </c>
      <c r="F23" s="120"/>
      <c r="G23" s="120">
        <f t="shared" si="0"/>
        <v>75820</v>
      </c>
      <c r="H23" s="85"/>
    </row>
    <row r="24" spans="1:8" ht="18.75" x14ac:dyDescent="0.3">
      <c r="A24" s="118"/>
      <c r="B24" s="100" t="s">
        <v>602</v>
      </c>
      <c r="C24" s="50" t="s">
        <v>601</v>
      </c>
      <c r="D24" s="119"/>
      <c r="E24" s="120">
        <v>7488</v>
      </c>
      <c r="F24" s="120"/>
      <c r="G24" s="120">
        <f t="shared" si="0"/>
        <v>68332</v>
      </c>
      <c r="H24" s="85"/>
    </row>
    <row r="25" spans="1:8" ht="18.75" x14ac:dyDescent="0.3">
      <c r="A25" s="118" t="s">
        <v>622</v>
      </c>
      <c r="B25" s="100" t="s">
        <v>621</v>
      </c>
      <c r="C25" s="50" t="s">
        <v>619</v>
      </c>
      <c r="D25" s="119"/>
      <c r="E25" s="120">
        <v>2600</v>
      </c>
      <c r="F25" s="120"/>
      <c r="G25" s="120">
        <f t="shared" si="0"/>
        <v>65732</v>
      </c>
      <c r="H25" s="85"/>
    </row>
    <row r="26" spans="1:8" ht="18.75" x14ac:dyDescent="0.3">
      <c r="A26" s="118" t="s">
        <v>716</v>
      </c>
      <c r="B26" s="100" t="s">
        <v>717</v>
      </c>
      <c r="C26" s="50" t="s">
        <v>715</v>
      </c>
      <c r="D26" s="119"/>
      <c r="E26" s="120">
        <v>4176</v>
      </c>
      <c r="F26" s="120"/>
      <c r="G26" s="120">
        <f t="shared" si="0"/>
        <v>61556</v>
      </c>
      <c r="H26" s="85"/>
    </row>
    <row r="27" spans="1:8" ht="18.75" x14ac:dyDescent="0.3">
      <c r="A27" s="118" t="s">
        <v>834</v>
      </c>
      <c r="B27" s="100" t="s">
        <v>845</v>
      </c>
      <c r="C27" s="50" t="s">
        <v>844</v>
      </c>
      <c r="D27" s="119"/>
      <c r="E27" s="120">
        <v>2456</v>
      </c>
      <c r="F27" s="120"/>
      <c r="G27" s="120">
        <f t="shared" si="0"/>
        <v>59100</v>
      </c>
      <c r="H27" s="85"/>
    </row>
    <row r="28" spans="1:8" ht="18.75" x14ac:dyDescent="0.3">
      <c r="A28" s="118" t="s">
        <v>888</v>
      </c>
      <c r="B28" s="100" t="s">
        <v>893</v>
      </c>
      <c r="C28" s="50" t="s">
        <v>892</v>
      </c>
      <c r="D28" s="119"/>
      <c r="E28" s="120">
        <v>2616</v>
      </c>
      <c r="F28" s="120"/>
      <c r="G28" s="120">
        <f t="shared" si="0"/>
        <v>56484</v>
      </c>
      <c r="H28" s="85"/>
    </row>
    <row r="29" spans="1:8" ht="18.75" x14ac:dyDescent="0.3">
      <c r="A29" s="118" t="s">
        <v>1003</v>
      </c>
      <c r="B29" s="100" t="s">
        <v>1510</v>
      </c>
      <c r="C29" s="50" t="s">
        <v>619</v>
      </c>
      <c r="D29" s="119"/>
      <c r="E29" s="120">
        <v>3572</v>
      </c>
      <c r="F29" s="120"/>
      <c r="G29" s="120">
        <f t="shared" si="0"/>
        <v>52912</v>
      </c>
      <c r="H29" s="85"/>
    </row>
    <row r="30" spans="1:8" ht="18.75" x14ac:dyDescent="0.3">
      <c r="A30" s="118" t="s">
        <v>1016</v>
      </c>
      <c r="B30" s="100" t="s">
        <v>1034</v>
      </c>
      <c r="C30" s="50" t="s">
        <v>1035</v>
      </c>
      <c r="D30" s="119"/>
      <c r="E30" s="120">
        <v>9688</v>
      </c>
      <c r="F30" s="120"/>
      <c r="G30" s="120">
        <f t="shared" si="0"/>
        <v>43224</v>
      </c>
      <c r="H30" s="85"/>
    </row>
    <row r="31" spans="1:8" ht="18.75" x14ac:dyDescent="0.3">
      <c r="A31" s="118" t="s">
        <v>1062</v>
      </c>
      <c r="B31" s="100" t="s">
        <v>1097</v>
      </c>
      <c r="C31" s="50" t="s">
        <v>1098</v>
      </c>
      <c r="D31" s="119"/>
      <c r="E31" s="120">
        <v>3200</v>
      </c>
      <c r="F31" s="120"/>
      <c r="G31" s="120">
        <f t="shared" si="0"/>
        <v>40024</v>
      </c>
      <c r="H31" s="85"/>
    </row>
    <row r="32" spans="1:8" ht="18.75" x14ac:dyDescent="0.3">
      <c r="A32" s="118" t="s">
        <v>1130</v>
      </c>
      <c r="B32" s="100" t="s">
        <v>1173</v>
      </c>
      <c r="C32" s="50" t="s">
        <v>1137</v>
      </c>
      <c r="D32" s="119"/>
      <c r="E32" s="120">
        <v>2972</v>
      </c>
      <c r="F32" s="120"/>
      <c r="G32" s="120">
        <f t="shared" si="0"/>
        <v>37052</v>
      </c>
      <c r="H32" s="85"/>
    </row>
    <row r="33" spans="1:8" ht="18.75" x14ac:dyDescent="0.3">
      <c r="A33" s="118" t="s">
        <v>1184</v>
      </c>
      <c r="B33" s="100" t="s">
        <v>1185</v>
      </c>
      <c r="C33" s="50" t="s">
        <v>1183</v>
      </c>
      <c r="D33" s="119"/>
      <c r="E33" s="120">
        <v>3712</v>
      </c>
      <c r="F33" s="120"/>
      <c r="G33" s="120">
        <f t="shared" si="0"/>
        <v>33340</v>
      </c>
      <c r="H33" s="85"/>
    </row>
    <row r="34" spans="1:8" ht="18.75" x14ac:dyDescent="0.3">
      <c r="A34" s="145" t="s">
        <v>1433</v>
      </c>
      <c r="B34" s="107" t="s">
        <v>1439</v>
      </c>
      <c r="C34" s="50" t="s">
        <v>1441</v>
      </c>
      <c r="D34" s="119"/>
      <c r="E34" s="120">
        <v>8388</v>
      </c>
      <c r="F34" s="120"/>
      <c r="G34" s="120">
        <f t="shared" si="0"/>
        <v>24952</v>
      </c>
      <c r="H34" s="85"/>
    </row>
    <row r="35" spans="1:8" ht="18.75" x14ac:dyDescent="0.3">
      <c r="A35" s="145" t="s">
        <v>1455</v>
      </c>
      <c r="B35" s="107" t="s">
        <v>1465</v>
      </c>
      <c r="C35" s="50" t="s">
        <v>619</v>
      </c>
      <c r="D35" s="119"/>
      <c r="E35" s="120">
        <v>1384</v>
      </c>
      <c r="F35" s="120"/>
      <c r="G35" s="120">
        <f t="shared" si="0"/>
        <v>23568</v>
      </c>
      <c r="H35" s="85"/>
    </row>
    <row r="36" spans="1:8" ht="18.75" x14ac:dyDescent="0.3">
      <c r="A36" s="118"/>
      <c r="B36" s="100"/>
      <c r="C36" s="50"/>
      <c r="D36" s="83"/>
      <c r="E36" s="120"/>
      <c r="F36" s="120"/>
      <c r="G36" s="120"/>
      <c r="H36" s="85"/>
    </row>
    <row r="37" spans="1:8" ht="18.75" x14ac:dyDescent="0.3">
      <c r="A37" s="99"/>
      <c r="B37" s="100">
        <v>3</v>
      </c>
      <c r="C37" s="50" t="s">
        <v>273</v>
      </c>
      <c r="D37" s="119">
        <v>13400</v>
      </c>
      <c r="E37" s="83"/>
      <c r="F37" s="120"/>
      <c r="G37" s="120">
        <v>13400</v>
      </c>
      <c r="H37" s="85" t="s">
        <v>278</v>
      </c>
    </row>
    <row r="38" spans="1:8" ht="18.75" x14ac:dyDescent="0.3">
      <c r="A38" s="118" t="s">
        <v>210</v>
      </c>
      <c r="B38" s="100" t="s">
        <v>211</v>
      </c>
      <c r="C38" s="50" t="s">
        <v>212</v>
      </c>
      <c r="D38" s="119"/>
      <c r="E38" s="83">
        <v>1000</v>
      </c>
      <c r="F38" s="120"/>
      <c r="G38" s="120">
        <f>G37-E38</f>
        <v>12400</v>
      </c>
      <c r="H38" s="85"/>
    </row>
    <row r="39" spans="1:8" ht="18.75" x14ac:dyDescent="0.3">
      <c r="A39" s="99" t="s">
        <v>349</v>
      </c>
      <c r="B39" s="100" t="s">
        <v>350</v>
      </c>
      <c r="C39" s="50" t="s">
        <v>348</v>
      </c>
      <c r="D39" s="119"/>
      <c r="E39" s="83">
        <v>1000</v>
      </c>
      <c r="F39" s="120"/>
      <c r="G39" s="120">
        <f>G38-E39</f>
        <v>11400</v>
      </c>
      <c r="H39" s="85"/>
    </row>
    <row r="40" spans="1:8" ht="18.75" x14ac:dyDescent="0.3">
      <c r="A40" s="99" t="s">
        <v>765</v>
      </c>
      <c r="B40" s="100" t="s">
        <v>766</v>
      </c>
      <c r="C40" s="50" t="s">
        <v>764</v>
      </c>
      <c r="D40" s="119"/>
      <c r="E40" s="83">
        <v>1000</v>
      </c>
      <c r="F40" s="120"/>
      <c r="G40" s="120">
        <f>G39-E40</f>
        <v>10400</v>
      </c>
      <c r="H40" s="85"/>
    </row>
    <row r="41" spans="1:8" ht="18.75" x14ac:dyDescent="0.3">
      <c r="A41" s="99" t="s">
        <v>1360</v>
      </c>
      <c r="B41" s="100" t="s">
        <v>1367</v>
      </c>
      <c r="C41" s="50" t="s">
        <v>1366</v>
      </c>
      <c r="D41" s="119"/>
      <c r="E41" s="83">
        <v>1000</v>
      </c>
      <c r="F41" s="120"/>
      <c r="G41" s="120">
        <f>G40-E41</f>
        <v>9400</v>
      </c>
      <c r="H41" s="85"/>
    </row>
    <row r="42" spans="1:8" ht="18.75" x14ac:dyDescent="0.3">
      <c r="A42" s="99"/>
      <c r="B42" s="100"/>
      <c r="C42" s="50"/>
      <c r="D42" s="119"/>
      <c r="E42" s="83"/>
      <c r="F42" s="120"/>
      <c r="G42" s="120"/>
      <c r="H42" s="85"/>
    </row>
    <row r="43" spans="1:8" ht="18.75" x14ac:dyDescent="0.3">
      <c r="A43" s="99"/>
      <c r="B43" s="100">
        <v>4</v>
      </c>
      <c r="C43" s="50" t="s">
        <v>274</v>
      </c>
      <c r="D43" s="119">
        <v>119255</v>
      </c>
      <c r="E43" s="83"/>
      <c r="F43" s="120"/>
      <c r="G43" s="120">
        <v>119255</v>
      </c>
      <c r="H43" s="85" t="s">
        <v>277</v>
      </c>
    </row>
    <row r="44" spans="1:8" ht="18.75" x14ac:dyDescent="0.3">
      <c r="A44" s="118" t="s">
        <v>235</v>
      </c>
      <c r="B44" s="100" t="s">
        <v>237</v>
      </c>
      <c r="C44" s="50" t="s">
        <v>242</v>
      </c>
      <c r="D44" s="83"/>
      <c r="E44" s="146">
        <v>2475</v>
      </c>
      <c r="F44" s="120"/>
      <c r="G44" s="120">
        <f t="shared" ref="G44:G54" si="1">G43-E44</f>
        <v>116780</v>
      </c>
      <c r="H44" s="85"/>
    </row>
    <row r="45" spans="1:8" ht="18.75" x14ac:dyDescent="0.3">
      <c r="A45" s="118" t="s">
        <v>255</v>
      </c>
      <c r="B45" s="100" t="s">
        <v>254</v>
      </c>
      <c r="C45" s="50" t="s">
        <v>256</v>
      </c>
      <c r="D45" s="119"/>
      <c r="E45" s="120">
        <v>26650</v>
      </c>
      <c r="F45" s="120"/>
      <c r="G45" s="120">
        <f t="shared" si="1"/>
        <v>90130</v>
      </c>
      <c r="H45" s="85"/>
    </row>
    <row r="46" spans="1:8" ht="18.75" x14ac:dyDescent="0.3">
      <c r="A46" s="118" t="s">
        <v>320</v>
      </c>
      <c r="B46" s="100" t="s">
        <v>322</v>
      </c>
      <c r="C46" s="50" t="s">
        <v>323</v>
      </c>
      <c r="D46" s="83"/>
      <c r="E46" s="146">
        <v>1500</v>
      </c>
      <c r="F46" s="120"/>
      <c r="G46" s="120">
        <f t="shared" si="1"/>
        <v>88630</v>
      </c>
      <c r="H46" s="85"/>
    </row>
    <row r="47" spans="1:8" ht="18.75" x14ac:dyDescent="0.3">
      <c r="A47" s="118"/>
      <c r="B47" s="100" t="s">
        <v>347</v>
      </c>
      <c r="C47" s="50" t="s">
        <v>346</v>
      </c>
      <c r="D47" s="83"/>
      <c r="E47" s="146">
        <v>1025</v>
      </c>
      <c r="F47" s="120"/>
      <c r="G47" s="120">
        <f t="shared" si="1"/>
        <v>87605</v>
      </c>
      <c r="H47" s="85"/>
    </row>
    <row r="48" spans="1:8" ht="18.75" x14ac:dyDescent="0.3">
      <c r="A48" s="118" t="s">
        <v>557</v>
      </c>
      <c r="B48" s="100" t="s">
        <v>561</v>
      </c>
      <c r="C48" s="50" t="s">
        <v>242</v>
      </c>
      <c r="D48" s="83"/>
      <c r="E48" s="146">
        <v>1850</v>
      </c>
      <c r="F48" s="120"/>
      <c r="G48" s="120">
        <f t="shared" si="1"/>
        <v>85755</v>
      </c>
      <c r="H48" s="85"/>
    </row>
    <row r="49" spans="1:8" ht="18.75" x14ac:dyDescent="0.3">
      <c r="A49" s="118" t="s">
        <v>716</v>
      </c>
      <c r="B49" s="100" t="s">
        <v>719</v>
      </c>
      <c r="C49" s="50" t="s">
        <v>242</v>
      </c>
      <c r="D49" s="83"/>
      <c r="E49" s="146">
        <v>2525</v>
      </c>
      <c r="F49" s="120"/>
      <c r="G49" s="120">
        <f t="shared" si="1"/>
        <v>83230</v>
      </c>
      <c r="H49" s="85"/>
    </row>
    <row r="50" spans="1:8" ht="18.75" x14ac:dyDescent="0.3">
      <c r="A50" s="118" t="s">
        <v>741</v>
      </c>
      <c r="B50" s="100" t="s">
        <v>750</v>
      </c>
      <c r="C50" s="50" t="s">
        <v>256</v>
      </c>
      <c r="D50" s="83"/>
      <c r="E50" s="146">
        <v>26650</v>
      </c>
      <c r="F50" s="120"/>
      <c r="G50" s="120">
        <f t="shared" si="1"/>
        <v>56580</v>
      </c>
      <c r="H50" s="85"/>
    </row>
    <row r="51" spans="1:8" ht="18.75" x14ac:dyDescent="0.3">
      <c r="A51" s="118" t="s">
        <v>818</v>
      </c>
      <c r="B51" s="100" t="s">
        <v>830</v>
      </c>
      <c r="C51" s="50" t="s">
        <v>831</v>
      </c>
      <c r="D51" s="83"/>
      <c r="E51" s="146">
        <v>1640</v>
      </c>
      <c r="F51" s="120"/>
      <c r="G51" s="120">
        <f t="shared" si="1"/>
        <v>54940</v>
      </c>
      <c r="H51" s="85"/>
    </row>
    <row r="52" spans="1:8" ht="18.75" x14ac:dyDescent="0.3">
      <c r="A52" s="118" t="s">
        <v>948</v>
      </c>
      <c r="B52" s="100" t="s">
        <v>949</v>
      </c>
      <c r="C52" s="50" t="s">
        <v>256</v>
      </c>
      <c r="D52" s="83"/>
      <c r="E52" s="146">
        <v>26650</v>
      </c>
      <c r="F52" s="120"/>
      <c r="G52" s="120">
        <f t="shared" si="1"/>
        <v>28290</v>
      </c>
      <c r="H52" s="85"/>
    </row>
    <row r="53" spans="1:8" ht="18.75" x14ac:dyDescent="0.3">
      <c r="A53" s="312">
        <v>22719</v>
      </c>
      <c r="B53" s="100" t="s">
        <v>1033</v>
      </c>
      <c r="C53" s="50" t="s">
        <v>242</v>
      </c>
      <c r="D53" s="83"/>
      <c r="E53" s="146">
        <v>2125</v>
      </c>
      <c r="F53" s="120"/>
      <c r="G53" s="120">
        <f t="shared" si="1"/>
        <v>26165</v>
      </c>
      <c r="H53" s="85"/>
    </row>
    <row r="54" spans="1:8" ht="18.75" x14ac:dyDescent="0.3">
      <c r="A54" s="312" t="s">
        <v>1215</v>
      </c>
      <c r="B54" s="100" t="s">
        <v>1262</v>
      </c>
      <c r="C54" s="50" t="s">
        <v>1263</v>
      </c>
      <c r="D54" s="83"/>
      <c r="E54" s="146">
        <v>2900</v>
      </c>
      <c r="F54" s="120"/>
      <c r="G54" s="120">
        <f t="shared" si="1"/>
        <v>23265</v>
      </c>
      <c r="H54" s="85"/>
    </row>
    <row r="55" spans="1:8" ht="18.75" x14ac:dyDescent="0.3">
      <c r="A55" s="118"/>
      <c r="B55" s="100"/>
      <c r="C55" s="50" t="s">
        <v>1271</v>
      </c>
      <c r="D55" s="83">
        <v>5310</v>
      </c>
      <c r="E55" s="146"/>
      <c r="F55" s="120"/>
      <c r="G55" s="120">
        <f>G54+D55-F55</f>
        <v>28575</v>
      </c>
      <c r="H55" s="85"/>
    </row>
    <row r="56" spans="1:8" ht="18.75" x14ac:dyDescent="0.3">
      <c r="A56" s="118" t="s">
        <v>1269</v>
      </c>
      <c r="B56" s="100" t="s">
        <v>1270</v>
      </c>
      <c r="C56" s="50" t="s">
        <v>1272</v>
      </c>
      <c r="D56" s="83"/>
      <c r="E56" s="146">
        <v>26650</v>
      </c>
      <c r="F56" s="120"/>
      <c r="G56" s="120">
        <f>G55-E56</f>
        <v>1925</v>
      </c>
      <c r="H56" s="85"/>
    </row>
    <row r="57" spans="1:8" ht="18.75" x14ac:dyDescent="0.3">
      <c r="A57" s="118" t="s">
        <v>1343</v>
      </c>
      <c r="B57" s="100"/>
      <c r="C57" s="50" t="s">
        <v>1386</v>
      </c>
      <c r="D57" s="83"/>
      <c r="E57" s="146">
        <v>1925</v>
      </c>
      <c r="F57" s="120"/>
      <c r="G57" s="120">
        <f>G56-E57</f>
        <v>0</v>
      </c>
      <c r="H57" s="85"/>
    </row>
    <row r="58" spans="1:8" ht="18.75" x14ac:dyDescent="0.3">
      <c r="A58" s="118"/>
      <c r="B58" s="100"/>
      <c r="C58" s="50"/>
      <c r="D58" s="83"/>
      <c r="E58" s="146"/>
      <c r="F58" s="120"/>
      <c r="G58" s="120"/>
      <c r="H58" s="85"/>
    </row>
    <row r="59" spans="1:8" ht="18.75" x14ac:dyDescent="0.3">
      <c r="A59" s="99"/>
      <c r="B59" s="100">
        <v>5</v>
      </c>
      <c r="C59" s="50" t="s">
        <v>275</v>
      </c>
      <c r="D59" s="119">
        <v>2990</v>
      </c>
      <c r="E59" s="83"/>
      <c r="F59" s="120"/>
      <c r="G59" s="120">
        <v>2990</v>
      </c>
      <c r="H59" s="85" t="s">
        <v>276</v>
      </c>
    </row>
    <row r="60" spans="1:8" ht="18.75" x14ac:dyDescent="0.3">
      <c r="A60" s="99" t="s">
        <v>598</v>
      </c>
      <c r="B60" s="100" t="s">
        <v>599</v>
      </c>
      <c r="C60" s="50" t="s">
        <v>560</v>
      </c>
      <c r="D60" s="119"/>
      <c r="E60" s="120">
        <v>2990</v>
      </c>
      <c r="F60" s="120"/>
      <c r="G60" s="120">
        <f>G59-E60</f>
        <v>0</v>
      </c>
      <c r="H60" s="85"/>
    </row>
    <row r="61" spans="1:8" ht="18.75" x14ac:dyDescent="0.3">
      <c r="A61" s="99"/>
      <c r="B61" s="100"/>
      <c r="C61" s="50"/>
      <c r="D61" s="119"/>
      <c r="E61" s="83"/>
      <c r="F61" s="120"/>
      <c r="G61" s="120"/>
      <c r="H61" s="85"/>
    </row>
    <row r="62" spans="1:8" ht="18.75" x14ac:dyDescent="0.3">
      <c r="A62" s="99"/>
      <c r="B62" s="100">
        <v>6</v>
      </c>
      <c r="C62" s="50" t="s">
        <v>303</v>
      </c>
      <c r="D62" s="119">
        <v>21250</v>
      </c>
      <c r="E62" s="83"/>
      <c r="F62" s="120"/>
      <c r="G62" s="120">
        <f>D62</f>
        <v>21250</v>
      </c>
      <c r="H62" s="85" t="s">
        <v>304</v>
      </c>
    </row>
    <row r="63" spans="1:8" ht="18.75" x14ac:dyDescent="0.3">
      <c r="A63" s="99" t="s">
        <v>834</v>
      </c>
      <c r="B63" s="100" t="s">
        <v>837</v>
      </c>
      <c r="C63" s="50" t="s">
        <v>838</v>
      </c>
      <c r="D63" s="119"/>
      <c r="E63" s="120">
        <v>15000</v>
      </c>
      <c r="F63" s="120"/>
      <c r="G63" s="120">
        <f>G62-E63</f>
        <v>6250</v>
      </c>
      <c r="H63" s="85"/>
    </row>
    <row r="64" spans="1:8" ht="18.75" x14ac:dyDescent="0.3">
      <c r="A64" s="99" t="s">
        <v>1019</v>
      </c>
      <c r="B64" s="100" t="s">
        <v>1023</v>
      </c>
      <c r="C64" s="50" t="s">
        <v>1024</v>
      </c>
      <c r="D64" s="119"/>
      <c r="E64" s="83">
        <v>1250</v>
      </c>
      <c r="F64" s="120"/>
      <c r="G64" s="120">
        <f>G63-E64</f>
        <v>5000</v>
      </c>
      <c r="H64" s="85"/>
    </row>
    <row r="65" spans="1:8" ht="18.75" x14ac:dyDescent="0.3">
      <c r="A65" s="99" t="s">
        <v>1186</v>
      </c>
      <c r="B65" s="100" t="s">
        <v>1187</v>
      </c>
      <c r="C65" s="50" t="s">
        <v>1188</v>
      </c>
      <c r="D65" s="119"/>
      <c r="E65" s="83">
        <v>1795</v>
      </c>
      <c r="F65" s="120"/>
      <c r="G65" s="120">
        <f>G64-E65</f>
        <v>3205</v>
      </c>
      <c r="H65" s="85"/>
    </row>
    <row r="66" spans="1:8" ht="18.75" x14ac:dyDescent="0.3">
      <c r="A66" s="99" t="s">
        <v>1405</v>
      </c>
      <c r="B66" s="100" t="s">
        <v>1413</v>
      </c>
      <c r="C66" s="50" t="s">
        <v>1412</v>
      </c>
      <c r="D66" s="119"/>
      <c r="E66" s="83">
        <v>1050</v>
      </c>
      <c r="F66" s="120"/>
      <c r="G66" s="120">
        <f>G65-E66</f>
        <v>2155</v>
      </c>
      <c r="H66" s="85"/>
    </row>
    <row r="67" spans="1:8" ht="18.75" x14ac:dyDescent="0.3">
      <c r="A67" s="99"/>
      <c r="B67" s="100"/>
      <c r="C67" s="50" t="s">
        <v>1511</v>
      </c>
      <c r="D67" s="119">
        <v>6845</v>
      </c>
      <c r="E67" s="83"/>
      <c r="F67" s="120"/>
      <c r="G67" s="120">
        <f>G66+D67</f>
        <v>9000</v>
      </c>
      <c r="H67" s="85"/>
    </row>
    <row r="68" spans="1:8" ht="18.75" x14ac:dyDescent="0.3">
      <c r="A68" s="99" t="s">
        <v>1509</v>
      </c>
      <c r="B68" s="100" t="s">
        <v>1518</v>
      </c>
      <c r="C68" s="50" t="s">
        <v>1519</v>
      </c>
      <c r="D68" s="119"/>
      <c r="E68" s="83">
        <v>9000</v>
      </c>
      <c r="F68" s="120"/>
      <c r="G68" s="120">
        <f>G67-E68</f>
        <v>0</v>
      </c>
      <c r="H68" s="85"/>
    </row>
    <row r="69" spans="1:8" ht="18.75" x14ac:dyDescent="0.3">
      <c r="A69" s="99"/>
      <c r="B69" s="100"/>
      <c r="C69" s="50"/>
      <c r="D69" s="119"/>
      <c r="E69" s="83"/>
      <c r="F69" s="120"/>
      <c r="G69" s="120"/>
      <c r="H69" s="85"/>
    </row>
    <row r="70" spans="1:8" ht="18.75" x14ac:dyDescent="0.3">
      <c r="A70" s="99"/>
      <c r="B70" s="100">
        <v>7</v>
      </c>
      <c r="C70" s="229" t="s">
        <v>336</v>
      </c>
      <c r="D70" s="119">
        <v>8250</v>
      </c>
      <c r="E70" s="83"/>
      <c r="F70" s="120"/>
      <c r="G70" s="120">
        <f>D70</f>
        <v>8250</v>
      </c>
      <c r="H70" s="85" t="s">
        <v>337</v>
      </c>
    </row>
    <row r="71" spans="1:8" ht="18.75" x14ac:dyDescent="0.3">
      <c r="A71" s="99" t="s">
        <v>672</v>
      </c>
      <c r="B71" s="100" t="s">
        <v>673</v>
      </c>
      <c r="C71" s="50" t="s">
        <v>675</v>
      </c>
      <c r="D71" s="119"/>
      <c r="E71" s="83">
        <v>7100</v>
      </c>
      <c r="F71" s="120"/>
      <c r="G71" s="120">
        <f>G70-E71</f>
        <v>1150</v>
      </c>
      <c r="H71" s="85"/>
    </row>
    <row r="72" spans="1:8" ht="18.75" x14ac:dyDescent="0.3">
      <c r="A72" s="99"/>
      <c r="B72" s="100" t="s">
        <v>674</v>
      </c>
      <c r="C72" s="50" t="s">
        <v>676</v>
      </c>
      <c r="D72" s="119"/>
      <c r="E72" s="83">
        <v>300</v>
      </c>
      <c r="F72" s="120"/>
      <c r="G72" s="120">
        <f>G71-E72</f>
        <v>850</v>
      </c>
      <c r="H72" s="85"/>
    </row>
    <row r="73" spans="1:8" ht="18.75" x14ac:dyDescent="0.3">
      <c r="A73" s="99"/>
      <c r="B73" s="100"/>
      <c r="C73" s="50"/>
      <c r="D73" s="119"/>
      <c r="E73" s="83"/>
      <c r="F73" s="120"/>
      <c r="G73" s="120"/>
      <c r="H73" s="85"/>
    </row>
    <row r="74" spans="1:8" ht="18.75" x14ac:dyDescent="0.3">
      <c r="A74" s="99"/>
      <c r="B74" s="100">
        <v>8</v>
      </c>
      <c r="C74" s="50" t="s">
        <v>850</v>
      </c>
      <c r="D74" s="119">
        <v>9050</v>
      </c>
      <c r="E74" s="83"/>
      <c r="F74" s="120"/>
      <c r="G74" s="120">
        <v>9050</v>
      </c>
      <c r="H74" s="85" t="s">
        <v>114</v>
      </c>
    </row>
    <row r="75" spans="1:8" ht="18.75" x14ac:dyDescent="0.3">
      <c r="A75" s="99" t="s">
        <v>255</v>
      </c>
      <c r="B75" s="100" t="s">
        <v>288</v>
      </c>
      <c r="C75" s="50" t="s">
        <v>287</v>
      </c>
      <c r="D75" s="101"/>
      <c r="E75" s="101">
        <v>3900</v>
      </c>
      <c r="F75" s="120"/>
      <c r="G75" s="120">
        <f>G74-E75</f>
        <v>5150</v>
      </c>
      <c r="H75" s="85"/>
    </row>
    <row r="76" spans="1:8" ht="18.75" x14ac:dyDescent="0.3">
      <c r="A76" s="99" t="s">
        <v>320</v>
      </c>
      <c r="B76" s="100" t="s">
        <v>319</v>
      </c>
      <c r="C76" s="50" t="s">
        <v>318</v>
      </c>
      <c r="D76" s="101"/>
      <c r="E76" s="101">
        <v>5150</v>
      </c>
      <c r="F76" s="120"/>
      <c r="G76" s="120">
        <f>G75-E76</f>
        <v>0</v>
      </c>
      <c r="H76" s="85"/>
    </row>
    <row r="77" spans="1:8" ht="18.75" x14ac:dyDescent="0.3">
      <c r="A77" s="263"/>
      <c r="B77" s="247"/>
      <c r="C77" s="50"/>
      <c r="D77" s="119"/>
      <c r="E77" s="83"/>
      <c r="F77" s="120"/>
      <c r="G77" s="120"/>
      <c r="H77" s="85"/>
    </row>
    <row r="78" spans="1:8" ht="18.75" x14ac:dyDescent="0.3">
      <c r="A78" s="118"/>
      <c r="B78" s="80">
        <v>9</v>
      </c>
      <c r="C78" s="50" t="s">
        <v>283</v>
      </c>
      <c r="D78" s="83">
        <v>29900</v>
      </c>
      <c r="E78" s="83"/>
      <c r="F78" s="83"/>
      <c r="G78" s="120">
        <f>D78</f>
        <v>29900</v>
      </c>
      <c r="H78" s="85" t="s">
        <v>284</v>
      </c>
    </row>
    <row r="79" spans="1:8" ht="18.75" x14ac:dyDescent="0.3">
      <c r="A79" s="118" t="s">
        <v>320</v>
      </c>
      <c r="B79" s="80" t="s">
        <v>321</v>
      </c>
      <c r="C79" s="50" t="s">
        <v>559</v>
      </c>
      <c r="D79" s="119"/>
      <c r="E79" s="83">
        <v>1225</v>
      </c>
      <c r="F79" s="83"/>
      <c r="G79" s="120">
        <f>G78-E79</f>
        <v>28675</v>
      </c>
      <c r="H79" s="121"/>
    </row>
    <row r="80" spans="1:8" ht="18.75" x14ac:dyDescent="0.3">
      <c r="A80" s="118" t="s">
        <v>557</v>
      </c>
      <c r="B80" s="80" t="s">
        <v>558</v>
      </c>
      <c r="C80" s="50" t="s">
        <v>560</v>
      </c>
      <c r="D80" s="119"/>
      <c r="E80" s="83">
        <v>2215</v>
      </c>
      <c r="F80" s="83"/>
      <c r="G80" s="120">
        <f>G79-E80</f>
        <v>26460</v>
      </c>
      <c r="H80" s="121"/>
    </row>
    <row r="81" spans="1:10" ht="18.75" x14ac:dyDescent="0.3">
      <c r="A81" s="118" t="s">
        <v>1107</v>
      </c>
      <c r="B81" s="80" t="s">
        <v>1109</v>
      </c>
      <c r="C81" s="50" t="s">
        <v>559</v>
      </c>
      <c r="D81" s="119"/>
      <c r="E81" s="83">
        <v>2470</v>
      </c>
      <c r="F81" s="83"/>
      <c r="G81" s="120">
        <f>G80-E81</f>
        <v>23990</v>
      </c>
      <c r="H81" s="121"/>
    </row>
    <row r="82" spans="1:10" ht="18.75" x14ac:dyDescent="0.3">
      <c r="A82" s="118" t="s">
        <v>1469</v>
      </c>
      <c r="B82" s="80" t="s">
        <v>1495</v>
      </c>
      <c r="C82" s="50" t="s">
        <v>1494</v>
      </c>
      <c r="D82" s="119"/>
      <c r="E82" s="83">
        <v>2525</v>
      </c>
      <c r="F82" s="83"/>
      <c r="G82" s="120">
        <f>G81-E82</f>
        <v>21465</v>
      </c>
      <c r="H82" s="121"/>
    </row>
    <row r="83" spans="1:10" ht="18.75" x14ac:dyDescent="0.3">
      <c r="A83" s="99"/>
      <c r="B83" s="100"/>
      <c r="C83" s="50"/>
      <c r="D83" s="119"/>
      <c r="E83" s="83"/>
      <c r="F83" s="120"/>
      <c r="G83" s="120"/>
      <c r="H83" s="85"/>
    </row>
    <row r="84" spans="1:10" ht="18.75" x14ac:dyDescent="0.3">
      <c r="A84" s="99"/>
      <c r="B84" s="100">
        <v>10</v>
      </c>
      <c r="C84" s="50" t="s">
        <v>1210</v>
      </c>
      <c r="D84" s="264">
        <v>5950</v>
      </c>
      <c r="E84" s="83"/>
      <c r="F84" s="120"/>
      <c r="G84" s="120">
        <f>D84</f>
        <v>5950</v>
      </c>
      <c r="H84" s="85"/>
    </row>
    <row r="85" spans="1:10" ht="18.75" x14ac:dyDescent="0.3">
      <c r="A85" s="99"/>
      <c r="B85" s="100" t="s">
        <v>259</v>
      </c>
      <c r="C85" s="50" t="s">
        <v>1213</v>
      </c>
      <c r="D85" s="103"/>
      <c r="E85" s="103">
        <v>2875</v>
      </c>
      <c r="F85" s="120"/>
      <c r="G85" s="120">
        <f>G84-E85</f>
        <v>3075</v>
      </c>
      <c r="H85" s="85" t="s">
        <v>114</v>
      </c>
    </row>
    <row r="86" spans="1:10" ht="18.75" x14ac:dyDescent="0.3">
      <c r="A86" s="99" t="s">
        <v>1215</v>
      </c>
      <c r="B86" s="100" t="s">
        <v>1261</v>
      </c>
      <c r="C86" s="50" t="s">
        <v>1211</v>
      </c>
      <c r="D86" s="103"/>
      <c r="E86" s="103">
        <v>825</v>
      </c>
      <c r="F86" s="120"/>
      <c r="G86" s="120">
        <f>G85-E86</f>
        <v>2250</v>
      </c>
      <c r="H86" s="127" t="s">
        <v>1212</v>
      </c>
    </row>
    <row r="87" spans="1:10" ht="18.75" x14ac:dyDescent="0.3">
      <c r="A87" s="99"/>
      <c r="B87" s="100" t="s">
        <v>1261</v>
      </c>
      <c r="C87" s="50" t="s">
        <v>1214</v>
      </c>
      <c r="D87" s="103"/>
      <c r="E87" s="103">
        <v>2250</v>
      </c>
      <c r="F87" s="120"/>
      <c r="G87" s="120">
        <f>G86-E87</f>
        <v>0</v>
      </c>
      <c r="H87" s="127"/>
    </row>
    <row r="88" spans="1:10" ht="18.75" x14ac:dyDescent="0.3">
      <c r="A88" s="99"/>
      <c r="B88" s="100"/>
      <c r="C88" s="50"/>
      <c r="D88" s="103"/>
      <c r="E88" s="103"/>
      <c r="F88" s="120"/>
      <c r="G88" s="120"/>
      <c r="H88" s="127"/>
    </row>
    <row r="89" spans="1:10" ht="18.75" x14ac:dyDescent="0.3">
      <c r="A89" s="99"/>
      <c r="B89" s="100"/>
      <c r="C89" s="50" t="s">
        <v>279</v>
      </c>
      <c r="D89" s="119">
        <v>682348</v>
      </c>
      <c r="E89" s="83"/>
      <c r="F89" s="120"/>
      <c r="G89" s="120">
        <f>D89</f>
        <v>682348</v>
      </c>
      <c r="H89" s="127"/>
    </row>
    <row r="90" spans="1:10" ht="18.75" x14ac:dyDescent="0.3">
      <c r="A90" s="263"/>
      <c r="B90" s="247"/>
      <c r="C90" s="126" t="s">
        <v>1220</v>
      </c>
      <c r="D90" s="264">
        <v>-500000</v>
      </c>
      <c r="E90" s="40"/>
      <c r="F90" s="265"/>
      <c r="G90" s="265">
        <f>G89+D90</f>
        <v>182348</v>
      </c>
      <c r="H90" s="127"/>
    </row>
    <row r="91" spans="1:10" ht="18.75" x14ac:dyDescent="0.3">
      <c r="A91" s="263" t="s">
        <v>1222</v>
      </c>
      <c r="B91" s="247" t="s">
        <v>1223</v>
      </c>
      <c r="C91" s="126" t="s">
        <v>1224</v>
      </c>
      <c r="D91" s="264">
        <v>1000000</v>
      </c>
      <c r="E91" s="40"/>
      <c r="F91" s="265"/>
      <c r="G91" s="265">
        <f>D91</f>
        <v>1000000</v>
      </c>
      <c r="H91" s="127"/>
    </row>
    <row r="92" spans="1:10" ht="18.75" x14ac:dyDescent="0.3">
      <c r="A92" s="124"/>
      <c r="B92" s="247"/>
      <c r="C92" s="126"/>
      <c r="D92" s="40"/>
      <c r="E92" s="40"/>
      <c r="F92" s="40"/>
      <c r="G92" s="40"/>
      <c r="H92" s="127"/>
      <c r="J92" s="123"/>
    </row>
    <row r="93" spans="1:10" ht="18" thickBot="1" x14ac:dyDescent="0.35">
      <c r="A93" s="128"/>
      <c r="B93" s="248"/>
      <c r="C93" s="130" t="s">
        <v>132</v>
      </c>
      <c r="D93" s="131">
        <f>SUM(D9:D92)</f>
        <v>1900000</v>
      </c>
      <c r="E93" s="131">
        <f>SUM(E6:E92)</f>
        <v>662369</v>
      </c>
      <c r="F93" s="131">
        <f>SUM(F6:F92)</f>
        <v>0</v>
      </c>
      <c r="G93" s="225">
        <f>D93-E93</f>
        <v>1237631</v>
      </c>
      <c r="H93" s="132"/>
      <c r="J93" s="123"/>
    </row>
    <row r="94" spans="1:10" ht="18" thickTop="1" x14ac:dyDescent="0.3">
      <c r="D94" s="133"/>
      <c r="E94" s="133"/>
      <c r="F94" s="133"/>
      <c r="G94" s="133"/>
      <c r="J94" s="123"/>
    </row>
    <row r="95" spans="1:10" ht="18.75" x14ac:dyDescent="0.3">
      <c r="D95" s="232"/>
      <c r="E95" s="133"/>
      <c r="F95" s="133"/>
      <c r="G95" s="133"/>
    </row>
    <row r="96" spans="1:10" ht="18.75" x14ac:dyDescent="0.3">
      <c r="D96" s="2"/>
      <c r="E96" s="133"/>
      <c r="F96" s="133"/>
      <c r="G96" s="133"/>
    </row>
    <row r="97" spans="2:12" ht="18.75" x14ac:dyDescent="0.3">
      <c r="D97" s="1"/>
    </row>
    <row r="98" spans="2:12" ht="18.75" x14ac:dyDescent="0.3">
      <c r="B98" s="150"/>
      <c r="C98" s="134"/>
      <c r="D98" s="65"/>
      <c r="E98" s="134"/>
      <c r="F98" s="134"/>
      <c r="G98" s="135"/>
      <c r="K98" s="136"/>
      <c r="L98" s="28"/>
    </row>
    <row r="99" spans="2:12" ht="18.75" x14ac:dyDescent="0.3">
      <c r="B99" s="150"/>
      <c r="C99" s="134"/>
      <c r="D99" s="65"/>
      <c r="E99" s="134"/>
      <c r="F99" s="134"/>
      <c r="G99" s="135"/>
      <c r="K99" s="136"/>
      <c r="L99" s="28"/>
    </row>
    <row r="100" spans="2:12" ht="18" thickBot="1" x14ac:dyDescent="0.35">
      <c r="B100" s="150"/>
      <c r="C100" s="134"/>
      <c r="D100" s="138"/>
      <c r="E100" s="134"/>
      <c r="F100" s="134"/>
      <c r="G100" s="135"/>
      <c r="K100" s="136"/>
      <c r="L100" s="28"/>
    </row>
    <row r="101" spans="2:12" ht="19.5" thickBot="1" x14ac:dyDescent="0.35">
      <c r="B101" s="150"/>
      <c r="C101" s="134"/>
      <c r="D101" s="65"/>
      <c r="E101" s="134"/>
      <c r="F101" s="134"/>
      <c r="G101" s="135"/>
      <c r="K101" s="139"/>
      <c r="L101" s="28"/>
    </row>
    <row r="102" spans="2:12" x14ac:dyDescent="0.3">
      <c r="B102" s="150"/>
      <c r="C102" s="134"/>
      <c r="D102" s="140"/>
      <c r="E102" s="134"/>
      <c r="F102" s="134"/>
      <c r="G102" s="134"/>
      <c r="K102" s="141"/>
      <c r="L102" s="28"/>
    </row>
  </sheetData>
  <mergeCells count="2">
    <mergeCell ref="A1:G1"/>
    <mergeCell ref="A2:G2"/>
  </mergeCells>
  <pageMargins left="0.3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D42" sqref="D42"/>
    </sheetView>
  </sheetViews>
  <sheetFormatPr defaultRowHeight="15.75" x14ac:dyDescent="0.25"/>
  <cols>
    <col min="1" max="1" width="7.28515625" style="28" customWidth="1"/>
    <col min="2" max="2" width="8.7109375" style="21" customWidth="1"/>
    <col min="3" max="3" width="34.28515625" style="21" customWidth="1"/>
    <col min="4" max="4" width="11.28515625" style="21" customWidth="1"/>
    <col min="5" max="5" width="9.5703125" style="21" customWidth="1"/>
    <col min="6" max="6" width="8.28515625" style="21" customWidth="1"/>
    <col min="7" max="7" width="11.28515625" style="21" customWidth="1"/>
    <col min="8" max="8" width="9.140625" style="28" customWidth="1"/>
    <col min="9" max="16384" width="9.140625" style="21"/>
  </cols>
  <sheetData>
    <row r="1" spans="1:8" ht="18.75" x14ac:dyDescent="0.3">
      <c r="A1" s="334" t="s">
        <v>136</v>
      </c>
      <c r="B1" s="334"/>
      <c r="C1" s="334"/>
      <c r="D1" s="334"/>
      <c r="E1" s="334"/>
      <c r="F1" s="334"/>
      <c r="G1" s="334"/>
      <c r="H1" s="111" t="s">
        <v>143</v>
      </c>
    </row>
    <row r="2" spans="1:8" ht="18.75" x14ac:dyDescent="0.3">
      <c r="A2" s="334" t="s">
        <v>1542</v>
      </c>
      <c r="B2" s="334"/>
      <c r="C2" s="334"/>
      <c r="D2" s="334"/>
      <c r="E2" s="334"/>
      <c r="F2" s="334"/>
      <c r="G2" s="334"/>
      <c r="H2" s="87"/>
    </row>
    <row r="3" spans="1:8" ht="18.75" x14ac:dyDescent="0.3">
      <c r="A3" s="111" t="s">
        <v>14</v>
      </c>
      <c r="B3" s="73"/>
      <c r="C3" s="73"/>
      <c r="D3" s="73"/>
      <c r="E3" s="73"/>
      <c r="F3" s="73"/>
      <c r="G3" s="87" t="s">
        <v>141</v>
      </c>
      <c r="H3" s="87" t="s">
        <v>144</v>
      </c>
    </row>
    <row r="4" spans="1:8" ht="18.75" x14ac:dyDescent="0.3">
      <c r="A4" s="112" t="s">
        <v>16</v>
      </c>
      <c r="B4" s="74" t="s">
        <v>12</v>
      </c>
      <c r="C4" s="75" t="s">
        <v>4</v>
      </c>
      <c r="D4" s="76" t="s">
        <v>24</v>
      </c>
      <c r="E4" s="113" t="s">
        <v>1</v>
      </c>
      <c r="F4" s="113" t="s">
        <v>106</v>
      </c>
      <c r="G4" s="76" t="s">
        <v>2</v>
      </c>
      <c r="H4" s="114" t="s">
        <v>3</v>
      </c>
    </row>
    <row r="5" spans="1:8" ht="18.75" x14ac:dyDescent="0.3">
      <c r="A5" s="115"/>
      <c r="B5" s="77"/>
      <c r="C5" s="78"/>
      <c r="D5" s="79"/>
      <c r="E5" s="116"/>
      <c r="F5" s="116" t="s">
        <v>31</v>
      </c>
      <c r="G5" s="79"/>
      <c r="H5" s="117" t="s">
        <v>17</v>
      </c>
    </row>
    <row r="6" spans="1:8" ht="18.75" x14ac:dyDescent="0.3">
      <c r="A6" s="99" t="s">
        <v>148</v>
      </c>
      <c r="B6" s="100" t="s">
        <v>149</v>
      </c>
      <c r="C6" s="50" t="s">
        <v>779</v>
      </c>
      <c r="D6" s="119"/>
      <c r="E6" s="83"/>
      <c r="F6" s="120"/>
      <c r="G6" s="120"/>
      <c r="H6" s="85"/>
    </row>
    <row r="7" spans="1:8" ht="18.75" x14ac:dyDescent="0.3">
      <c r="A7" s="118"/>
      <c r="B7" s="80">
        <v>1</v>
      </c>
      <c r="C7" s="50" t="s">
        <v>280</v>
      </c>
      <c r="D7" s="119">
        <v>130950</v>
      </c>
      <c r="E7" s="83"/>
      <c r="F7" s="120"/>
      <c r="G7" s="120">
        <f>D7</f>
        <v>130950</v>
      </c>
      <c r="H7" s="85" t="s">
        <v>282</v>
      </c>
    </row>
    <row r="8" spans="1:8" ht="18.75" x14ac:dyDescent="0.3">
      <c r="A8" s="118"/>
      <c r="B8" s="80"/>
      <c r="C8" s="50" t="s">
        <v>281</v>
      </c>
      <c r="D8" s="119"/>
      <c r="E8" s="83"/>
      <c r="F8" s="120"/>
      <c r="G8" s="120"/>
      <c r="H8" s="85"/>
    </row>
    <row r="9" spans="1:8" ht="18.75" x14ac:dyDescent="0.3">
      <c r="A9" s="118" t="s">
        <v>359</v>
      </c>
      <c r="B9" s="80" t="s">
        <v>358</v>
      </c>
      <c r="C9" s="50" t="s">
        <v>360</v>
      </c>
      <c r="D9" s="83"/>
      <c r="E9" s="146">
        <v>1225</v>
      </c>
      <c r="F9" s="120"/>
      <c r="G9" s="120">
        <f>G7-E9</f>
        <v>129725</v>
      </c>
      <c r="H9" s="85"/>
    </row>
    <row r="10" spans="1:8" ht="18.75" x14ac:dyDescent="0.3">
      <c r="A10" s="118" t="s">
        <v>984</v>
      </c>
      <c r="B10" s="80" t="s">
        <v>986</v>
      </c>
      <c r="C10" s="50" t="s">
        <v>987</v>
      </c>
      <c r="D10" s="83"/>
      <c r="E10" s="146">
        <v>124500</v>
      </c>
      <c r="F10" s="120"/>
      <c r="G10" s="120">
        <f>G9-E10</f>
        <v>5225</v>
      </c>
      <c r="H10" s="85"/>
    </row>
    <row r="11" spans="1:8" ht="18.75" x14ac:dyDescent="0.3">
      <c r="A11" s="118" t="s">
        <v>1107</v>
      </c>
      <c r="B11" s="80" t="s">
        <v>1108</v>
      </c>
      <c r="C11" s="50" t="s">
        <v>1106</v>
      </c>
      <c r="D11" s="83"/>
      <c r="E11" s="146">
        <v>1050</v>
      </c>
      <c r="F11" s="120"/>
      <c r="G11" s="120">
        <f>G10-E11</f>
        <v>4175</v>
      </c>
      <c r="H11" s="85"/>
    </row>
    <row r="12" spans="1:8" ht="18.75" x14ac:dyDescent="0.3">
      <c r="A12" s="118"/>
      <c r="B12" s="80"/>
      <c r="C12" s="50"/>
      <c r="D12" s="83"/>
      <c r="E12" s="146"/>
      <c r="F12" s="120"/>
      <c r="G12" s="120"/>
      <c r="H12" s="85"/>
    </row>
    <row r="13" spans="1:8" ht="18.75" x14ac:dyDescent="0.3">
      <c r="A13" s="118"/>
      <c r="B13" s="80">
        <v>2</v>
      </c>
      <c r="C13" s="104" t="s">
        <v>285</v>
      </c>
      <c r="D13" s="83">
        <v>27970</v>
      </c>
      <c r="E13" s="83"/>
      <c r="F13" s="83"/>
      <c r="G13" s="120">
        <f>D13</f>
        <v>27970</v>
      </c>
      <c r="H13" s="85" t="s">
        <v>286</v>
      </c>
    </row>
    <row r="14" spans="1:8" ht="18.75" x14ac:dyDescent="0.3">
      <c r="A14" s="118" t="s">
        <v>716</v>
      </c>
      <c r="B14" s="80" t="s">
        <v>718</v>
      </c>
      <c r="C14" s="50" t="s">
        <v>560</v>
      </c>
      <c r="D14" s="83"/>
      <c r="E14" s="83">
        <v>2720</v>
      </c>
      <c r="F14" s="83"/>
      <c r="G14" s="120">
        <f>G13-E14</f>
        <v>25250</v>
      </c>
      <c r="H14" s="85"/>
    </row>
    <row r="15" spans="1:8" ht="18.75" x14ac:dyDescent="0.3">
      <c r="A15" s="118" t="s">
        <v>1215</v>
      </c>
      <c r="B15" s="80" t="s">
        <v>1264</v>
      </c>
      <c r="C15" s="50" t="s">
        <v>1265</v>
      </c>
      <c r="D15" s="83"/>
      <c r="E15" s="83">
        <v>500</v>
      </c>
      <c r="F15" s="83"/>
      <c r="G15" s="120">
        <f>G14-E15</f>
        <v>24750</v>
      </c>
      <c r="H15" s="85" t="s">
        <v>1266</v>
      </c>
    </row>
    <row r="16" spans="1:8" ht="18.75" x14ac:dyDescent="0.3">
      <c r="A16" s="118"/>
      <c r="B16" s="80"/>
      <c r="C16" s="50"/>
      <c r="D16" s="83"/>
      <c r="E16" s="83"/>
      <c r="F16" s="83"/>
      <c r="G16" s="120"/>
      <c r="H16" s="85"/>
    </row>
    <row r="17" spans="1:8" ht="18.75" x14ac:dyDescent="0.3">
      <c r="A17" s="118"/>
      <c r="B17" s="80">
        <v>3</v>
      </c>
      <c r="C17" s="50" t="s">
        <v>301</v>
      </c>
      <c r="D17" s="83">
        <v>26650</v>
      </c>
      <c r="E17" s="83"/>
      <c r="F17" s="83"/>
      <c r="G17" s="120">
        <f>D17</f>
        <v>26650</v>
      </c>
      <c r="H17" s="121" t="s">
        <v>302</v>
      </c>
    </row>
    <row r="18" spans="1:8" ht="18.75" x14ac:dyDescent="0.3">
      <c r="A18" s="118" t="s">
        <v>349</v>
      </c>
      <c r="B18" s="80" t="s">
        <v>351</v>
      </c>
      <c r="C18" s="122" t="s">
        <v>352</v>
      </c>
      <c r="D18" s="83"/>
      <c r="E18" s="83">
        <v>900</v>
      </c>
      <c r="F18" s="83"/>
      <c r="G18" s="120">
        <f>G17-E18</f>
        <v>25750</v>
      </c>
      <c r="H18" s="85"/>
    </row>
    <row r="19" spans="1:8" ht="18.75" x14ac:dyDescent="0.3">
      <c r="A19" s="118" t="s">
        <v>557</v>
      </c>
      <c r="B19" s="80" t="s">
        <v>562</v>
      </c>
      <c r="C19" s="122" t="s">
        <v>563</v>
      </c>
      <c r="D19" s="83"/>
      <c r="E19" s="119">
        <v>14700</v>
      </c>
      <c r="F19" s="83"/>
      <c r="G19" s="120">
        <f t="shared" ref="G19:G27" si="0">G18-E19</f>
        <v>11050</v>
      </c>
      <c r="H19" s="85"/>
    </row>
    <row r="20" spans="1:8" ht="18.75" x14ac:dyDescent="0.3">
      <c r="A20" s="118" t="s">
        <v>598</v>
      </c>
      <c r="B20" s="80" t="s">
        <v>608</v>
      </c>
      <c r="C20" s="122" t="s">
        <v>610</v>
      </c>
      <c r="D20" s="83"/>
      <c r="E20" s="83">
        <v>2700</v>
      </c>
      <c r="F20" s="83"/>
      <c r="G20" s="120">
        <f t="shared" si="0"/>
        <v>8350</v>
      </c>
      <c r="H20" s="85"/>
    </row>
    <row r="21" spans="1:8" ht="18.75" x14ac:dyDescent="0.3">
      <c r="A21" s="118" t="s">
        <v>615</v>
      </c>
      <c r="B21" s="80" t="s">
        <v>609</v>
      </c>
      <c r="C21" s="122" t="s">
        <v>611</v>
      </c>
      <c r="D21" s="83"/>
      <c r="E21" s="83">
        <v>300</v>
      </c>
      <c r="F21" s="83"/>
      <c r="G21" s="120">
        <f t="shared" si="0"/>
        <v>8050</v>
      </c>
      <c r="H21" s="85"/>
    </row>
    <row r="22" spans="1:8" ht="18.75" x14ac:dyDescent="0.3">
      <c r="A22" s="118" t="s">
        <v>667</v>
      </c>
      <c r="B22" s="80" t="s">
        <v>670</v>
      </c>
      <c r="C22" s="122" t="s">
        <v>671</v>
      </c>
      <c r="D22" s="83"/>
      <c r="E22" s="83">
        <v>900</v>
      </c>
      <c r="F22" s="83"/>
      <c r="G22" s="120">
        <f t="shared" si="0"/>
        <v>7150</v>
      </c>
      <c r="H22" s="85"/>
    </row>
    <row r="23" spans="1:8" ht="18.75" x14ac:dyDescent="0.3">
      <c r="A23" s="118" t="s">
        <v>867</v>
      </c>
      <c r="B23" s="80" t="s">
        <v>886</v>
      </c>
      <c r="C23" s="122" t="s">
        <v>885</v>
      </c>
      <c r="D23" s="83"/>
      <c r="E23" s="83">
        <v>900</v>
      </c>
      <c r="F23" s="83"/>
      <c r="G23" s="120">
        <f t="shared" si="0"/>
        <v>6250</v>
      </c>
      <c r="H23" s="85"/>
    </row>
    <row r="24" spans="1:8" ht="18.75" x14ac:dyDescent="0.3">
      <c r="A24" s="118" t="s">
        <v>1062</v>
      </c>
      <c r="B24" s="80" t="s">
        <v>1100</v>
      </c>
      <c r="C24" s="122" t="s">
        <v>1099</v>
      </c>
      <c r="D24" s="83"/>
      <c r="E24" s="83">
        <v>900</v>
      </c>
      <c r="F24" s="83"/>
      <c r="G24" s="120">
        <f t="shared" si="0"/>
        <v>5350</v>
      </c>
      <c r="H24" s="85"/>
    </row>
    <row r="25" spans="1:8" ht="18.75" x14ac:dyDescent="0.3">
      <c r="A25" s="118" t="s">
        <v>1180</v>
      </c>
      <c r="B25" s="80" t="s">
        <v>1181</v>
      </c>
      <c r="C25" s="122" t="s">
        <v>1182</v>
      </c>
      <c r="D25" s="83"/>
      <c r="E25" s="83">
        <v>900</v>
      </c>
      <c r="F25" s="83"/>
      <c r="G25" s="120">
        <f t="shared" si="0"/>
        <v>4450</v>
      </c>
      <c r="H25" s="85"/>
    </row>
    <row r="26" spans="1:8" ht="18.75" x14ac:dyDescent="0.3">
      <c r="A26" s="118" t="s">
        <v>1405</v>
      </c>
      <c r="B26" s="80" t="s">
        <v>1415</v>
      </c>
      <c r="C26" s="122" t="s">
        <v>1414</v>
      </c>
      <c r="D26" s="83"/>
      <c r="E26" s="83">
        <v>900</v>
      </c>
      <c r="F26" s="83"/>
      <c r="G26" s="120">
        <f t="shared" si="0"/>
        <v>3550</v>
      </c>
      <c r="H26" s="85"/>
    </row>
    <row r="27" spans="1:8" ht="18.75" x14ac:dyDescent="0.3">
      <c r="A27" s="118"/>
      <c r="B27" s="80"/>
      <c r="C27" s="122" t="s">
        <v>1480</v>
      </c>
      <c r="D27" s="83"/>
      <c r="E27" s="83">
        <v>-1470</v>
      </c>
      <c r="F27" s="83"/>
      <c r="G27" s="120">
        <f t="shared" si="0"/>
        <v>5020</v>
      </c>
      <c r="H27" s="85"/>
    </row>
    <row r="28" spans="1:8" ht="18.75" x14ac:dyDescent="0.3">
      <c r="A28" s="118"/>
      <c r="B28" s="80"/>
      <c r="C28" s="122"/>
      <c r="D28" s="83"/>
      <c r="E28" s="83"/>
      <c r="F28" s="83"/>
      <c r="G28" s="120"/>
      <c r="H28" s="85"/>
    </row>
    <row r="29" spans="1:8" ht="18.75" x14ac:dyDescent="0.3">
      <c r="A29" s="118"/>
      <c r="B29" s="80">
        <v>4</v>
      </c>
      <c r="C29" s="122" t="s">
        <v>617</v>
      </c>
      <c r="D29" s="83">
        <v>74290</v>
      </c>
      <c r="E29" s="83"/>
      <c r="F29" s="83"/>
      <c r="G29" s="120">
        <f>D29</f>
        <v>74290</v>
      </c>
      <c r="H29" s="85" t="s">
        <v>23</v>
      </c>
    </row>
    <row r="30" spans="1:8" ht="18.75" x14ac:dyDescent="0.3">
      <c r="A30" s="118"/>
      <c r="B30" s="80"/>
      <c r="C30" s="122" t="s">
        <v>618</v>
      </c>
      <c r="D30" s="83"/>
      <c r="E30" s="120"/>
      <c r="F30" s="83"/>
      <c r="G30" s="120"/>
      <c r="H30" s="85"/>
    </row>
    <row r="31" spans="1:8" ht="18.75" x14ac:dyDescent="0.3">
      <c r="A31" s="118" t="s">
        <v>928</v>
      </c>
      <c r="B31" s="80" t="s">
        <v>933</v>
      </c>
      <c r="C31" s="122" t="s">
        <v>934</v>
      </c>
      <c r="D31" s="83"/>
      <c r="E31" s="120">
        <v>68155</v>
      </c>
      <c r="F31" s="83"/>
      <c r="G31" s="120">
        <f>G29-E31</f>
        <v>6135</v>
      </c>
      <c r="H31" s="85"/>
    </row>
    <row r="32" spans="1:8" ht="18.75" x14ac:dyDescent="0.3">
      <c r="A32" s="118"/>
      <c r="B32" s="80"/>
      <c r="C32" s="122"/>
      <c r="D32" s="83"/>
      <c r="E32" s="120"/>
      <c r="F32" s="83"/>
      <c r="G32" s="120"/>
      <c r="H32" s="85"/>
    </row>
    <row r="33" spans="1:8" ht="18.75" x14ac:dyDescent="0.3">
      <c r="A33" s="118"/>
      <c r="B33" s="80">
        <v>5</v>
      </c>
      <c r="C33" s="122" t="s">
        <v>1122</v>
      </c>
      <c r="D33" s="83">
        <v>38200</v>
      </c>
      <c r="E33" s="120"/>
      <c r="F33" s="83"/>
      <c r="G33" s="120">
        <v>38200</v>
      </c>
      <c r="H33" s="85" t="s">
        <v>276</v>
      </c>
    </row>
    <row r="34" spans="1:8" ht="18.75" x14ac:dyDescent="0.3">
      <c r="A34" s="118" t="s">
        <v>1062</v>
      </c>
      <c r="B34" s="80" t="s">
        <v>1144</v>
      </c>
      <c r="C34" s="122" t="s">
        <v>1145</v>
      </c>
      <c r="D34" s="83"/>
      <c r="E34" s="120">
        <v>4000</v>
      </c>
      <c r="F34" s="83"/>
      <c r="G34" s="120">
        <f>G33-E34</f>
        <v>34200</v>
      </c>
      <c r="H34" s="85"/>
    </row>
    <row r="35" spans="1:8" ht="18.75" x14ac:dyDescent="0.3">
      <c r="A35" s="118" t="s">
        <v>1155</v>
      </c>
      <c r="B35" s="80" t="s">
        <v>1333</v>
      </c>
      <c r="C35" s="122" t="s">
        <v>1334</v>
      </c>
      <c r="D35" s="83"/>
      <c r="E35" s="146">
        <v>33200</v>
      </c>
      <c r="F35" s="83"/>
      <c r="G35" s="120">
        <f>G34-E35</f>
        <v>1000</v>
      </c>
      <c r="H35" s="85"/>
    </row>
    <row r="36" spans="1:8" ht="18.75" x14ac:dyDescent="0.3">
      <c r="A36" s="118"/>
      <c r="B36" s="80"/>
      <c r="C36" s="50" t="s">
        <v>1124</v>
      </c>
      <c r="D36" s="83">
        <v>1940</v>
      </c>
      <c r="E36" s="83"/>
      <c r="F36" s="83"/>
      <c r="G36" s="120">
        <f>D36</f>
        <v>1940</v>
      </c>
      <c r="H36" s="85"/>
    </row>
    <row r="37" spans="1:8" ht="18.75" x14ac:dyDescent="0.3">
      <c r="A37" s="99" t="s">
        <v>667</v>
      </c>
      <c r="B37" s="100" t="s">
        <v>780</v>
      </c>
      <c r="C37" s="84" t="s">
        <v>1123</v>
      </c>
      <c r="D37" s="119"/>
      <c r="E37" s="83"/>
      <c r="F37" s="120"/>
      <c r="G37" s="120">
        <v>300000</v>
      </c>
      <c r="H37" s="85"/>
    </row>
    <row r="38" spans="1:8" ht="18.75" x14ac:dyDescent="0.3">
      <c r="A38" s="99"/>
      <c r="B38" s="100">
        <v>7</v>
      </c>
      <c r="C38" s="234" t="s">
        <v>1126</v>
      </c>
      <c r="D38" s="119">
        <v>50000</v>
      </c>
      <c r="E38" s="83"/>
      <c r="F38" s="120"/>
      <c r="G38" s="120">
        <f>D38</f>
        <v>50000</v>
      </c>
      <c r="H38" s="85" t="s">
        <v>19</v>
      </c>
    </row>
    <row r="39" spans="1:8" ht="18.75" x14ac:dyDescent="0.3">
      <c r="A39" s="99" t="s">
        <v>1174</v>
      </c>
      <c r="B39" s="100" t="s">
        <v>1175</v>
      </c>
      <c r="C39" s="50" t="s">
        <v>1176</v>
      </c>
      <c r="D39" s="119"/>
      <c r="E39" s="120">
        <v>50000</v>
      </c>
      <c r="F39" s="120"/>
      <c r="G39" s="120">
        <f>G38-E39-F39</f>
        <v>0</v>
      </c>
      <c r="H39" s="85"/>
    </row>
    <row r="40" spans="1:8" ht="18.75" x14ac:dyDescent="0.3">
      <c r="A40" s="99"/>
      <c r="B40" s="100"/>
      <c r="C40" s="50"/>
      <c r="D40" s="119"/>
      <c r="E40" s="120"/>
      <c r="F40" s="120"/>
      <c r="G40" s="120"/>
      <c r="H40" s="85"/>
    </row>
    <row r="41" spans="1:8" ht="18.75" x14ac:dyDescent="0.3">
      <c r="A41" s="99" t="s">
        <v>1178</v>
      </c>
      <c r="B41" s="100"/>
      <c r="C41" s="50" t="s">
        <v>1177</v>
      </c>
      <c r="D41" s="119">
        <v>14700</v>
      </c>
      <c r="E41" s="120"/>
      <c r="F41" s="120"/>
      <c r="G41" s="120">
        <v>14700</v>
      </c>
      <c r="H41" s="85"/>
    </row>
    <row r="42" spans="1:8" ht="18.75" x14ac:dyDescent="0.3">
      <c r="A42" s="99" t="s">
        <v>1164</v>
      </c>
      <c r="B42" s="100" t="s">
        <v>1179</v>
      </c>
      <c r="C42" s="50" t="s">
        <v>819</v>
      </c>
      <c r="D42" s="119"/>
      <c r="E42" s="120">
        <v>14700</v>
      </c>
      <c r="F42" s="120"/>
      <c r="G42" s="120">
        <f>G41-E42</f>
        <v>0</v>
      </c>
      <c r="H42" s="85"/>
    </row>
    <row r="43" spans="1:8" ht="18.75" x14ac:dyDescent="0.3">
      <c r="A43" s="99"/>
      <c r="B43" s="100"/>
      <c r="C43" s="50" t="s">
        <v>1473</v>
      </c>
      <c r="D43" s="119"/>
      <c r="E43" s="120">
        <v>-840</v>
      </c>
      <c r="F43" s="120"/>
      <c r="G43" s="120">
        <f>G42-E43</f>
        <v>840</v>
      </c>
      <c r="H43" s="85"/>
    </row>
    <row r="44" spans="1:8" ht="18.75" x14ac:dyDescent="0.3">
      <c r="A44" s="99"/>
      <c r="B44" s="100"/>
      <c r="C44" s="50"/>
      <c r="D44" s="119"/>
      <c r="E44" s="120"/>
      <c r="F44" s="120"/>
      <c r="G44" s="120"/>
      <c r="H44" s="85"/>
    </row>
    <row r="45" spans="1:8" ht="18.75" x14ac:dyDescent="0.3">
      <c r="A45" s="99"/>
      <c r="B45" s="100"/>
      <c r="C45" s="50"/>
      <c r="D45" s="119"/>
      <c r="E45" s="120"/>
      <c r="F45" s="120"/>
      <c r="G45" s="120"/>
      <c r="H45" s="85"/>
    </row>
    <row r="46" spans="1:8" ht="18.75" x14ac:dyDescent="0.3">
      <c r="A46" s="99"/>
      <c r="B46" s="100"/>
      <c r="C46" s="50" t="s">
        <v>1125</v>
      </c>
      <c r="D46" s="119">
        <v>235300</v>
      </c>
      <c r="E46" s="83"/>
      <c r="F46" s="120"/>
      <c r="G46" s="120">
        <f>D46</f>
        <v>235300</v>
      </c>
      <c r="H46" s="85"/>
    </row>
    <row r="47" spans="1:8" ht="18.75" x14ac:dyDescent="0.3">
      <c r="A47" s="124"/>
      <c r="B47" s="125"/>
      <c r="C47" s="126"/>
      <c r="D47" s="40"/>
      <c r="E47" s="40"/>
      <c r="F47" s="40"/>
      <c r="G47" s="40"/>
      <c r="H47" s="127"/>
    </row>
    <row r="48" spans="1:8" ht="19.5" thickBot="1" x14ac:dyDescent="0.35">
      <c r="A48" s="128"/>
      <c r="B48" s="129"/>
      <c r="C48" s="130" t="s">
        <v>132</v>
      </c>
      <c r="D48" s="131">
        <f>SUM(D7:D47)</f>
        <v>600000</v>
      </c>
      <c r="E48" s="131">
        <f>SUM(E6:E47)</f>
        <v>320840</v>
      </c>
      <c r="F48" s="278">
        <f>SUM(F6:F47)</f>
        <v>0</v>
      </c>
      <c r="G48" s="225">
        <f>D48-E48</f>
        <v>279160</v>
      </c>
      <c r="H48" s="132"/>
    </row>
    <row r="49" spans="2:7" ht="16.5" thickTop="1" x14ac:dyDescent="0.25">
      <c r="D49" s="133"/>
      <c r="E49" s="133"/>
      <c r="F49" s="133"/>
      <c r="G49" s="133"/>
    </row>
    <row r="50" spans="2:7" x14ac:dyDescent="0.25">
      <c r="D50" s="249"/>
      <c r="E50" s="133"/>
      <c r="F50" s="133"/>
      <c r="G50" s="133"/>
    </row>
    <row r="51" spans="2:7" x14ac:dyDescent="0.25">
      <c r="D51" s="133"/>
      <c r="E51" s="133"/>
      <c r="F51" s="133"/>
      <c r="G51" s="133"/>
    </row>
    <row r="53" spans="2:7" ht="18.75" x14ac:dyDescent="0.3">
      <c r="B53" s="134"/>
      <c r="C53" s="134"/>
      <c r="D53" s="65"/>
      <c r="E53" s="134"/>
      <c r="F53" s="134"/>
      <c r="G53" s="135"/>
    </row>
    <row r="54" spans="2:7" ht="18.75" x14ac:dyDescent="0.3">
      <c r="B54" s="137"/>
      <c r="C54" s="134"/>
      <c r="D54" s="65"/>
      <c r="E54" s="134"/>
      <c r="F54" s="134"/>
      <c r="G54" s="135"/>
    </row>
    <row r="55" spans="2:7" x14ac:dyDescent="0.25">
      <c r="B55" s="134"/>
      <c r="C55" s="134"/>
      <c r="D55" s="138"/>
      <c r="E55" s="134"/>
      <c r="F55" s="134"/>
      <c r="G55" s="135"/>
    </row>
    <row r="56" spans="2:7" ht="18.75" x14ac:dyDescent="0.3">
      <c r="B56" s="134"/>
      <c r="C56" s="134"/>
      <c r="D56" s="65"/>
      <c r="E56" s="134"/>
      <c r="F56" s="134"/>
      <c r="G56" s="135"/>
    </row>
    <row r="57" spans="2:7" x14ac:dyDescent="0.25">
      <c r="B57" s="134"/>
      <c r="C57" s="134"/>
      <c r="D57" s="140"/>
      <c r="E57" s="134"/>
      <c r="F57" s="134"/>
      <c r="G57" s="134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E28" sqref="E28"/>
    </sheetView>
  </sheetViews>
  <sheetFormatPr defaultRowHeight="17.25" x14ac:dyDescent="0.3"/>
  <cols>
    <col min="1" max="1" width="8.7109375" style="88" customWidth="1"/>
    <col min="2" max="2" width="8.42578125" style="88" customWidth="1"/>
    <col min="3" max="3" width="26.42578125" style="88" customWidth="1"/>
    <col min="4" max="4" width="12.7109375" style="88" customWidth="1"/>
    <col min="5" max="5" width="12.28515625" style="88" customWidth="1"/>
    <col min="6" max="6" width="8.28515625" style="88" customWidth="1"/>
    <col min="7" max="7" width="13.28515625" style="88" customWidth="1"/>
    <col min="8" max="8" width="9.7109375" style="88" customWidth="1"/>
    <col min="9" max="16384" width="9.140625" style="88"/>
  </cols>
  <sheetData>
    <row r="1" spans="1:8" ht="18.75" x14ac:dyDescent="0.3">
      <c r="A1" s="87"/>
      <c r="B1" s="87"/>
      <c r="C1" s="87"/>
      <c r="D1" s="73" t="s">
        <v>117</v>
      </c>
      <c r="E1" s="87"/>
      <c r="F1" s="87"/>
      <c r="G1" s="87"/>
      <c r="H1" s="87"/>
    </row>
    <row r="2" spans="1:8" x14ac:dyDescent="0.3">
      <c r="A2" s="87" t="s">
        <v>1543</v>
      </c>
      <c r="B2" s="87"/>
      <c r="C2" s="87"/>
      <c r="D2" s="87"/>
      <c r="E2" s="87"/>
      <c r="F2" s="87" t="s">
        <v>801</v>
      </c>
      <c r="G2" s="87"/>
      <c r="H2" s="87" t="s">
        <v>145</v>
      </c>
    </row>
    <row r="3" spans="1:8" x14ac:dyDescent="0.3">
      <c r="A3" s="87" t="s">
        <v>14</v>
      </c>
      <c r="B3" s="87"/>
      <c r="C3" s="87"/>
      <c r="D3" s="87"/>
      <c r="E3" s="87"/>
      <c r="F3" s="87"/>
      <c r="G3" s="227" t="s">
        <v>146</v>
      </c>
      <c r="H3" s="87" t="s">
        <v>147</v>
      </c>
    </row>
    <row r="4" spans="1:8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91" t="s">
        <v>3</v>
      </c>
    </row>
    <row r="5" spans="1:8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98" t="s">
        <v>17</v>
      </c>
    </row>
    <row r="6" spans="1:8" x14ac:dyDescent="0.3">
      <c r="A6" s="145" t="s">
        <v>148</v>
      </c>
      <c r="B6" s="100" t="s">
        <v>150</v>
      </c>
      <c r="C6" s="84" t="s">
        <v>118</v>
      </c>
      <c r="D6" s="146">
        <v>5729790</v>
      </c>
      <c r="E6" s="146"/>
      <c r="F6" s="101"/>
      <c r="G6" s="147">
        <f>D6</f>
        <v>5729790</v>
      </c>
      <c r="H6" s="142" t="s">
        <v>151</v>
      </c>
    </row>
    <row r="7" spans="1:8" x14ac:dyDescent="0.3">
      <c r="A7" s="145" t="s">
        <v>235</v>
      </c>
      <c r="B7" s="100" t="s">
        <v>251</v>
      </c>
      <c r="C7" s="50" t="s">
        <v>236</v>
      </c>
      <c r="D7" s="101"/>
      <c r="E7" s="101">
        <v>3876843</v>
      </c>
      <c r="F7" s="101"/>
      <c r="G7" s="103">
        <f>G6-E7</f>
        <v>1852947</v>
      </c>
      <c r="H7" s="106"/>
    </row>
    <row r="8" spans="1:8" x14ac:dyDescent="0.3">
      <c r="A8" s="99" t="s">
        <v>577</v>
      </c>
      <c r="B8" s="100" t="s">
        <v>578</v>
      </c>
      <c r="C8" s="84" t="s">
        <v>579</v>
      </c>
      <c r="D8" s="148">
        <v>5522900</v>
      </c>
      <c r="E8" s="103"/>
      <c r="F8" s="101"/>
      <c r="G8" s="103">
        <f>G7+D8</f>
        <v>7375847</v>
      </c>
      <c r="H8" s="106"/>
    </row>
    <row r="9" spans="1:8" x14ac:dyDescent="0.3">
      <c r="A9" s="145" t="s">
        <v>574</v>
      </c>
      <c r="B9" s="100" t="s">
        <v>575</v>
      </c>
      <c r="C9" s="50" t="s">
        <v>370</v>
      </c>
      <c r="D9" s="101"/>
      <c r="E9" s="103">
        <v>1918666.77</v>
      </c>
      <c r="F9" s="101"/>
      <c r="G9" s="103">
        <f>G8-E9</f>
        <v>5457180.2300000004</v>
      </c>
      <c r="H9" s="106"/>
    </row>
    <row r="10" spans="1:8" ht="18.75" x14ac:dyDescent="0.3">
      <c r="A10" s="145"/>
      <c r="B10" s="100"/>
      <c r="C10" s="50" t="s">
        <v>1496</v>
      </c>
      <c r="D10" s="101"/>
      <c r="E10" s="330">
        <v>-3629.03</v>
      </c>
      <c r="F10" s="101"/>
      <c r="G10" s="103">
        <f>G9-E10</f>
        <v>5460809.2600000007</v>
      </c>
      <c r="H10" s="106"/>
    </row>
    <row r="11" spans="1:8" x14ac:dyDescent="0.3">
      <c r="A11" s="99" t="s">
        <v>642</v>
      </c>
      <c r="B11" s="100" t="s">
        <v>698</v>
      </c>
      <c r="C11" s="50" t="s">
        <v>640</v>
      </c>
      <c r="D11" s="101"/>
      <c r="E11" s="101">
        <v>1925130.63</v>
      </c>
      <c r="F11" s="101"/>
      <c r="G11" s="103">
        <f>G10-E11</f>
        <v>3535678.6300000008</v>
      </c>
      <c r="H11" s="106"/>
    </row>
    <row r="12" spans="1:8" x14ac:dyDescent="0.3">
      <c r="A12" s="145" t="s">
        <v>904</v>
      </c>
      <c r="B12" s="107" t="s">
        <v>921</v>
      </c>
      <c r="C12" s="50" t="s">
        <v>895</v>
      </c>
      <c r="D12" s="101"/>
      <c r="E12" s="102">
        <v>1960930</v>
      </c>
      <c r="F12" s="101"/>
      <c r="G12" s="103">
        <f>G11-E12</f>
        <v>1574748.6300000008</v>
      </c>
      <c r="H12" s="106"/>
    </row>
    <row r="13" spans="1:8" x14ac:dyDescent="0.3">
      <c r="A13" s="99" t="s">
        <v>1199</v>
      </c>
      <c r="B13" s="100" t="s">
        <v>1200</v>
      </c>
      <c r="C13" s="84" t="s">
        <v>1198</v>
      </c>
      <c r="D13" s="101">
        <v>6289200</v>
      </c>
      <c r="E13" s="101"/>
      <c r="F13" s="101"/>
      <c r="G13" s="103">
        <f>G12+D13</f>
        <v>7863948.6300000008</v>
      </c>
      <c r="H13" s="106"/>
    </row>
    <row r="14" spans="1:8" x14ac:dyDescent="0.3">
      <c r="A14" s="99" t="s">
        <v>1199</v>
      </c>
      <c r="B14" s="100" t="s">
        <v>1202</v>
      </c>
      <c r="C14" s="50" t="s">
        <v>1201</v>
      </c>
      <c r="D14" s="101"/>
      <c r="E14" s="101">
        <v>3958774.8</v>
      </c>
      <c r="F14" s="101"/>
      <c r="G14" s="103">
        <f>G13-E14</f>
        <v>3905173.830000001</v>
      </c>
      <c r="H14" s="104"/>
    </row>
    <row r="15" spans="1:8" x14ac:dyDescent="0.3">
      <c r="A15" s="99" t="s">
        <v>1433</v>
      </c>
      <c r="B15" s="107" t="s">
        <v>1449</v>
      </c>
      <c r="C15" s="50" t="s">
        <v>1450</v>
      </c>
      <c r="D15" s="101"/>
      <c r="E15" s="101">
        <v>1897400</v>
      </c>
      <c r="F15" s="101"/>
      <c r="G15" s="103">
        <f>G14-E15</f>
        <v>2007773.830000001</v>
      </c>
      <c r="H15" s="104"/>
    </row>
    <row r="16" spans="1:8" ht="18.75" x14ac:dyDescent="0.3">
      <c r="A16" s="99" t="s">
        <v>1469</v>
      </c>
      <c r="B16" s="100"/>
      <c r="C16" s="50" t="s">
        <v>1477</v>
      </c>
      <c r="D16" s="101"/>
      <c r="E16" s="83">
        <v>-9053.23</v>
      </c>
      <c r="F16" s="101"/>
      <c r="G16" s="103">
        <f>G15-E16</f>
        <v>2016827.060000001</v>
      </c>
      <c r="H16" s="104"/>
    </row>
    <row r="17" spans="1:8" x14ac:dyDescent="0.3">
      <c r="A17" s="99"/>
      <c r="B17" s="107"/>
      <c r="C17" s="50"/>
      <c r="D17" s="101"/>
      <c r="E17" s="101"/>
      <c r="F17" s="101"/>
      <c r="G17" s="103"/>
      <c r="H17" s="104"/>
    </row>
    <row r="18" spans="1:8" x14ac:dyDescent="0.3">
      <c r="A18" s="99"/>
      <c r="B18" s="107"/>
      <c r="C18" s="86"/>
      <c r="D18" s="101"/>
      <c r="E18" s="101"/>
      <c r="F18" s="101"/>
      <c r="G18" s="103"/>
      <c r="H18" s="104"/>
    </row>
    <row r="19" spans="1:8" x14ac:dyDescent="0.3">
      <c r="A19" s="99"/>
      <c r="B19" s="107"/>
      <c r="C19" s="86"/>
      <c r="D19" s="103"/>
      <c r="E19" s="103"/>
      <c r="F19" s="103"/>
      <c r="G19" s="103"/>
      <c r="H19" s="104"/>
    </row>
    <row r="20" spans="1:8" x14ac:dyDescent="0.3">
      <c r="A20" s="99"/>
      <c r="B20" s="107"/>
      <c r="C20" s="84"/>
      <c r="D20" s="101"/>
      <c r="E20" s="101"/>
      <c r="F20" s="101"/>
      <c r="G20" s="101"/>
      <c r="H20" s="104"/>
    </row>
    <row r="21" spans="1:8" x14ac:dyDescent="0.3">
      <c r="A21" s="99"/>
      <c r="B21" s="107"/>
      <c r="C21" s="86"/>
      <c r="D21" s="101"/>
      <c r="E21" s="101"/>
      <c r="F21" s="101"/>
      <c r="G21" s="101"/>
      <c r="H21" s="104"/>
    </row>
    <row r="22" spans="1:8" x14ac:dyDescent="0.3">
      <c r="A22" s="99"/>
      <c r="B22" s="107"/>
      <c r="C22" s="86"/>
      <c r="D22" s="101"/>
      <c r="E22" s="101"/>
      <c r="F22" s="101"/>
      <c r="G22" s="101"/>
      <c r="H22" s="104"/>
    </row>
    <row r="23" spans="1:8" x14ac:dyDescent="0.3">
      <c r="A23" s="99"/>
      <c r="B23" s="107"/>
      <c r="C23" s="86"/>
      <c r="D23" s="101"/>
      <c r="E23" s="101"/>
      <c r="F23" s="101"/>
      <c r="G23" s="101"/>
      <c r="H23" s="104"/>
    </row>
    <row r="24" spans="1:8" x14ac:dyDescent="0.3">
      <c r="A24" s="99"/>
      <c r="B24" s="107"/>
      <c r="C24" s="86"/>
      <c r="D24" s="101"/>
      <c r="E24" s="101"/>
      <c r="F24" s="210"/>
      <c r="G24" s="101"/>
      <c r="H24" s="104"/>
    </row>
    <row r="25" spans="1:8" x14ac:dyDescent="0.3">
      <c r="A25" s="99"/>
      <c r="B25" s="107"/>
      <c r="C25" s="86"/>
      <c r="D25" s="101"/>
      <c r="E25" s="101"/>
      <c r="F25" s="101"/>
      <c r="G25" s="101"/>
      <c r="H25" s="104"/>
    </row>
    <row r="26" spans="1:8" x14ac:dyDescent="0.3">
      <c r="A26" s="99"/>
      <c r="B26" s="107"/>
      <c r="C26" s="86"/>
      <c r="D26" s="153"/>
      <c r="E26" s="153"/>
      <c r="F26" s="153"/>
      <c r="G26" s="154"/>
      <c r="H26" s="104"/>
    </row>
    <row r="27" spans="1:8" ht="18" thickBot="1" x14ac:dyDescent="0.35">
      <c r="A27" s="99"/>
      <c r="B27" s="155"/>
      <c r="C27" s="143" t="s">
        <v>20</v>
      </c>
      <c r="D27" s="193">
        <f>SUM(D6:D26)</f>
        <v>17541890</v>
      </c>
      <c r="E27" s="193">
        <f>SUM(E6:E26)</f>
        <v>15525062.939999998</v>
      </c>
      <c r="F27" s="209">
        <f>SUM(F6:F26)</f>
        <v>0</v>
      </c>
      <c r="G27" s="156">
        <f>D27-E27-F27</f>
        <v>2016827.0600000024</v>
      </c>
      <c r="H27" s="104"/>
    </row>
    <row r="28" spans="1:8" ht="18" thickTop="1" x14ac:dyDescent="0.3">
      <c r="B28" s="157"/>
      <c r="D28" s="88" t="s">
        <v>104</v>
      </c>
      <c r="E28" s="144"/>
    </row>
    <row r="29" spans="1:8" x14ac:dyDescent="0.3">
      <c r="E29" s="144"/>
    </row>
    <row r="30" spans="1:8" x14ac:dyDescent="0.3">
      <c r="E30" s="144"/>
      <c r="G30" s="144"/>
    </row>
    <row r="31" spans="1:8" x14ac:dyDescent="0.3">
      <c r="D31" s="144"/>
      <c r="E31" s="144"/>
      <c r="G31" s="144"/>
    </row>
    <row r="32" spans="1:8" x14ac:dyDescent="0.3">
      <c r="D32" s="178"/>
      <c r="E32" s="176"/>
      <c r="G32" s="144"/>
    </row>
    <row r="33" spans="4:4" x14ac:dyDescent="0.3">
      <c r="D33" s="144"/>
    </row>
    <row r="34" spans="4:4" x14ac:dyDescent="0.3">
      <c r="D34" s="151"/>
    </row>
    <row r="35" spans="4:4" x14ac:dyDescent="0.3">
      <c r="D35" s="151"/>
    </row>
    <row r="37" spans="4:4" x14ac:dyDescent="0.3">
      <c r="D37" s="159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O17" sqref="O17"/>
    </sheetView>
  </sheetViews>
  <sheetFormatPr defaultRowHeight="17.25" x14ac:dyDescent="0.3"/>
  <cols>
    <col min="1" max="1" width="8.7109375" style="88" customWidth="1"/>
    <col min="2" max="2" width="8.42578125" style="88" customWidth="1"/>
    <col min="3" max="3" width="23.85546875" style="88" customWidth="1"/>
    <col min="4" max="4" width="11.28515625" style="88" customWidth="1"/>
    <col min="5" max="5" width="12.28515625" style="88" customWidth="1"/>
    <col min="6" max="6" width="9.28515625" style="88" customWidth="1"/>
    <col min="7" max="7" width="13" style="88" customWidth="1"/>
    <col min="8" max="8" width="8.85546875" style="88" customWidth="1"/>
    <col min="9" max="9" width="9.140625" style="88"/>
    <col min="10" max="10" width="12.28515625" style="88" customWidth="1"/>
    <col min="11" max="11" width="11.140625" style="88" customWidth="1"/>
    <col min="12" max="16384" width="9.140625" style="88"/>
  </cols>
  <sheetData>
    <row r="1" spans="1:8" x14ac:dyDescent="0.3">
      <c r="A1" s="335" t="s">
        <v>190</v>
      </c>
      <c r="B1" s="335"/>
      <c r="C1" s="335"/>
      <c r="D1" s="335"/>
      <c r="E1" s="335"/>
      <c r="F1" s="335"/>
      <c r="G1" s="335"/>
      <c r="H1" s="87" t="s">
        <v>140</v>
      </c>
    </row>
    <row r="2" spans="1:8" x14ac:dyDescent="0.3">
      <c r="A2" s="335" t="s">
        <v>1345</v>
      </c>
      <c r="B2" s="335"/>
      <c r="C2" s="335"/>
      <c r="D2" s="335"/>
      <c r="E2" s="335"/>
      <c r="F2" s="335"/>
      <c r="G2" s="335"/>
      <c r="H2" s="335"/>
    </row>
    <row r="3" spans="1:8" x14ac:dyDescent="0.3">
      <c r="A3" s="87" t="s">
        <v>14</v>
      </c>
      <c r="B3" s="87"/>
      <c r="C3" s="87"/>
      <c r="D3" s="87"/>
      <c r="E3" s="87"/>
      <c r="F3" s="87"/>
      <c r="G3" s="87" t="s">
        <v>5</v>
      </c>
      <c r="H3" s="87" t="s">
        <v>125</v>
      </c>
    </row>
    <row r="4" spans="1:8" x14ac:dyDescent="0.3">
      <c r="A4" s="90" t="s">
        <v>16</v>
      </c>
      <c r="B4" s="90" t="s">
        <v>12</v>
      </c>
      <c r="C4" s="91" t="s">
        <v>4</v>
      </c>
      <c r="D4" s="92" t="s">
        <v>15</v>
      </c>
      <c r="E4" s="92" t="s">
        <v>1</v>
      </c>
      <c r="F4" s="92" t="s">
        <v>34</v>
      </c>
      <c r="G4" s="93" t="s">
        <v>2</v>
      </c>
      <c r="H4" s="91" t="s">
        <v>3</v>
      </c>
    </row>
    <row r="5" spans="1:8" ht="28.5" customHeight="1" x14ac:dyDescent="0.3">
      <c r="A5" s="94"/>
      <c r="B5" s="94"/>
      <c r="C5" s="95"/>
      <c r="D5" s="96" t="s">
        <v>0</v>
      </c>
      <c r="E5" s="96"/>
      <c r="F5" s="96" t="s">
        <v>32</v>
      </c>
      <c r="G5" s="97"/>
      <c r="H5" s="98" t="s">
        <v>17</v>
      </c>
    </row>
    <row r="6" spans="1:8" x14ac:dyDescent="0.3">
      <c r="A6" s="145"/>
      <c r="B6" s="100"/>
      <c r="C6" s="86" t="s">
        <v>181</v>
      </c>
      <c r="D6" s="148"/>
      <c r="E6" s="148"/>
      <c r="F6" s="103"/>
      <c r="G6" s="102"/>
      <c r="H6" s="142"/>
    </row>
    <row r="7" spans="1:8" x14ac:dyDescent="0.3">
      <c r="A7" s="145" t="s">
        <v>169</v>
      </c>
      <c r="B7" s="100" t="s">
        <v>170</v>
      </c>
      <c r="C7" s="84" t="s">
        <v>182</v>
      </c>
      <c r="D7" s="146">
        <v>6615000</v>
      </c>
      <c r="E7" s="146"/>
      <c r="F7" s="101"/>
      <c r="G7" s="147">
        <v>6615000</v>
      </c>
      <c r="H7" s="142" t="s">
        <v>151</v>
      </c>
    </row>
    <row r="8" spans="1:8" x14ac:dyDescent="0.3">
      <c r="A8" s="145" t="s">
        <v>177</v>
      </c>
      <c r="B8" s="100" t="s">
        <v>178</v>
      </c>
      <c r="C8" s="84" t="s">
        <v>183</v>
      </c>
      <c r="D8" s="148">
        <v>1417500</v>
      </c>
      <c r="E8" s="103"/>
      <c r="F8" s="103"/>
      <c r="G8" s="147">
        <f>G7+D8</f>
        <v>8032500</v>
      </c>
      <c r="H8" s="142"/>
    </row>
    <row r="9" spans="1:8" x14ac:dyDescent="0.3">
      <c r="A9" s="145" t="s">
        <v>202</v>
      </c>
      <c r="B9" s="100" t="s">
        <v>253</v>
      </c>
      <c r="C9" s="50" t="s">
        <v>236</v>
      </c>
      <c r="D9" s="148"/>
      <c r="E9" s="103">
        <v>2615550</v>
      </c>
      <c r="F9" s="103"/>
      <c r="G9" s="147">
        <f>G8-E9</f>
        <v>5416950</v>
      </c>
      <c r="H9" s="142"/>
    </row>
    <row r="10" spans="1:8" x14ac:dyDescent="0.3">
      <c r="A10" s="145" t="s">
        <v>375</v>
      </c>
      <c r="B10" s="100" t="s">
        <v>555</v>
      </c>
      <c r="C10" s="50" t="s">
        <v>370</v>
      </c>
      <c r="D10" s="148"/>
      <c r="E10" s="103">
        <v>1275750</v>
      </c>
      <c r="F10" s="103"/>
      <c r="G10" s="147">
        <f>G9-E10</f>
        <v>4141200</v>
      </c>
      <c r="H10" s="142"/>
    </row>
    <row r="11" spans="1:8" x14ac:dyDescent="0.3">
      <c r="A11" s="145" t="s">
        <v>642</v>
      </c>
      <c r="B11" s="100" t="s">
        <v>703</v>
      </c>
      <c r="C11" s="50" t="s">
        <v>640</v>
      </c>
      <c r="D11" s="148"/>
      <c r="E11" s="103">
        <v>1240185.03</v>
      </c>
      <c r="F11" s="103"/>
      <c r="G11" s="260">
        <f>G10-E11</f>
        <v>2901014.9699999997</v>
      </c>
      <c r="H11" s="142"/>
    </row>
    <row r="12" spans="1:8" x14ac:dyDescent="0.3">
      <c r="A12" s="145" t="s">
        <v>904</v>
      </c>
      <c r="B12" s="107" t="s">
        <v>924</v>
      </c>
      <c r="C12" s="50" t="s">
        <v>895</v>
      </c>
      <c r="D12" s="148"/>
      <c r="E12" s="103">
        <v>1228500</v>
      </c>
      <c r="F12" s="103"/>
      <c r="G12" s="260">
        <f>G11-E12</f>
        <v>1672514.9699999997</v>
      </c>
      <c r="H12" s="142" t="s">
        <v>1128</v>
      </c>
    </row>
    <row r="13" spans="1:8" x14ac:dyDescent="0.3">
      <c r="A13" s="145" t="s">
        <v>1088</v>
      </c>
      <c r="B13" s="107" t="s">
        <v>1089</v>
      </c>
      <c r="C13" s="50" t="s">
        <v>1065</v>
      </c>
      <c r="D13" s="148"/>
      <c r="E13" s="103">
        <v>1228500</v>
      </c>
      <c r="F13" s="103"/>
      <c r="G13" s="260">
        <f>G12-E13</f>
        <v>444014.96999999974</v>
      </c>
      <c r="H13" s="142" t="s">
        <v>1129</v>
      </c>
    </row>
    <row r="14" spans="1:8" x14ac:dyDescent="0.3">
      <c r="A14" s="145" t="s">
        <v>1338</v>
      </c>
      <c r="B14" s="107" t="s">
        <v>1339</v>
      </c>
      <c r="C14" s="50" t="s">
        <v>1340</v>
      </c>
      <c r="D14" s="148">
        <v>6255000</v>
      </c>
      <c r="E14" s="103"/>
      <c r="F14" s="103"/>
      <c r="G14" s="260">
        <f>G13+D14</f>
        <v>6699014.9699999997</v>
      </c>
      <c r="H14" s="142"/>
    </row>
    <row r="15" spans="1:8" x14ac:dyDescent="0.3">
      <c r="A15" s="145" t="s">
        <v>1343</v>
      </c>
      <c r="B15" s="107" t="s">
        <v>1342</v>
      </c>
      <c r="C15" s="50" t="s">
        <v>1344</v>
      </c>
      <c r="D15" s="148">
        <v>736000</v>
      </c>
      <c r="E15" s="103"/>
      <c r="F15" s="103"/>
      <c r="G15" s="260">
        <f>G14+D15</f>
        <v>7435014.9699999997</v>
      </c>
      <c r="H15" s="142"/>
    </row>
    <row r="16" spans="1:8" x14ac:dyDescent="0.3">
      <c r="A16" s="145" t="s">
        <v>1455</v>
      </c>
      <c r="B16" s="107" t="s">
        <v>1459</v>
      </c>
      <c r="C16" s="50" t="s">
        <v>1462</v>
      </c>
      <c r="D16" s="148"/>
      <c r="E16" s="103">
        <v>2409750</v>
      </c>
      <c r="F16" s="103"/>
      <c r="G16" s="260">
        <f>G15-E16</f>
        <v>5025264.97</v>
      </c>
      <c r="H16" s="142"/>
    </row>
    <row r="17" spans="1:10" x14ac:dyDescent="0.3">
      <c r="A17" s="145"/>
      <c r="B17" s="107"/>
      <c r="C17" s="50"/>
      <c r="D17" s="148"/>
      <c r="E17" s="103"/>
      <c r="F17" s="103"/>
      <c r="G17" s="260"/>
      <c r="H17" s="142"/>
    </row>
    <row r="18" spans="1:10" x14ac:dyDescent="0.3">
      <c r="A18" s="145"/>
      <c r="B18" s="100"/>
      <c r="C18" s="50"/>
      <c r="D18" s="148"/>
      <c r="E18" s="103"/>
      <c r="F18" s="103"/>
      <c r="G18" s="102"/>
      <c r="H18" s="142"/>
    </row>
    <row r="19" spans="1:10" x14ac:dyDescent="0.3">
      <c r="A19" s="145" t="s">
        <v>179</v>
      </c>
      <c r="B19" s="100" t="s">
        <v>180</v>
      </c>
      <c r="C19" s="84" t="s">
        <v>138</v>
      </c>
      <c r="D19" s="146">
        <v>699300</v>
      </c>
      <c r="E19" s="148"/>
      <c r="F19" s="103"/>
      <c r="G19" s="102">
        <f>D19</f>
        <v>699300</v>
      </c>
      <c r="H19" s="142" t="s">
        <v>151</v>
      </c>
    </row>
    <row r="20" spans="1:10" x14ac:dyDescent="0.3">
      <c r="A20" s="145" t="s">
        <v>235</v>
      </c>
      <c r="B20" s="100" t="s">
        <v>248</v>
      </c>
      <c r="C20" s="50" t="s">
        <v>236</v>
      </c>
      <c r="D20" s="148"/>
      <c r="E20" s="160">
        <v>233100</v>
      </c>
      <c r="F20" s="215"/>
      <c r="G20" s="161">
        <f>G19-E20</f>
        <v>466200</v>
      </c>
      <c r="H20" s="142"/>
    </row>
    <row r="21" spans="1:10" x14ac:dyDescent="0.3">
      <c r="A21" s="145" t="s">
        <v>375</v>
      </c>
      <c r="B21" s="100" t="s">
        <v>556</v>
      </c>
      <c r="C21" s="50" t="s">
        <v>370</v>
      </c>
      <c r="D21" s="148"/>
      <c r="E21" s="160">
        <v>116550</v>
      </c>
      <c r="F21" s="215"/>
      <c r="G21" s="161">
        <f>G20-E21</f>
        <v>349650</v>
      </c>
      <c r="H21" s="142"/>
    </row>
    <row r="22" spans="1:10" x14ac:dyDescent="0.3">
      <c r="A22" s="145" t="s">
        <v>642</v>
      </c>
      <c r="B22" s="100" t="s">
        <v>699</v>
      </c>
      <c r="C22" s="50" t="s">
        <v>640</v>
      </c>
      <c r="D22" s="148"/>
      <c r="E22" s="160">
        <v>116550</v>
      </c>
      <c r="F22" s="215"/>
      <c r="G22" s="161">
        <f>G21-E22</f>
        <v>233100</v>
      </c>
      <c r="H22" s="142"/>
    </row>
    <row r="23" spans="1:10" x14ac:dyDescent="0.3">
      <c r="A23" s="145" t="s">
        <v>904</v>
      </c>
      <c r="B23" s="100" t="s">
        <v>905</v>
      </c>
      <c r="C23" s="84" t="s">
        <v>906</v>
      </c>
      <c r="D23" s="148">
        <v>699300</v>
      </c>
      <c r="E23" s="160"/>
      <c r="F23" s="215"/>
      <c r="G23" s="161">
        <f>G22+D23</f>
        <v>932400</v>
      </c>
      <c r="H23" s="142" t="s">
        <v>1308</v>
      </c>
    </row>
    <row r="24" spans="1:10" x14ac:dyDescent="0.3">
      <c r="A24" s="145"/>
      <c r="B24" s="100" t="s">
        <v>919</v>
      </c>
      <c r="C24" s="50" t="s">
        <v>895</v>
      </c>
      <c r="D24" s="148"/>
      <c r="E24" s="160">
        <v>116550</v>
      </c>
      <c r="F24" s="215"/>
      <c r="G24" s="161">
        <f>G23-E24</f>
        <v>815850</v>
      </c>
      <c r="H24" s="142"/>
    </row>
    <row r="25" spans="1:10" x14ac:dyDescent="0.3">
      <c r="A25" s="145" t="s">
        <v>1079</v>
      </c>
      <c r="B25" s="100" t="s">
        <v>1080</v>
      </c>
      <c r="C25" s="50" t="s">
        <v>1065</v>
      </c>
      <c r="D25" s="148"/>
      <c r="E25" s="160">
        <v>116550</v>
      </c>
      <c r="F25" s="215"/>
      <c r="G25" s="161">
        <f>G24-E25</f>
        <v>699300</v>
      </c>
      <c r="H25" s="142"/>
    </row>
    <row r="26" spans="1:10" x14ac:dyDescent="0.3">
      <c r="A26" s="145" t="s">
        <v>1215</v>
      </c>
      <c r="B26" s="100" t="s">
        <v>1258</v>
      </c>
      <c r="C26" s="50" t="s">
        <v>1253</v>
      </c>
      <c r="D26" s="148"/>
      <c r="E26" s="160">
        <v>116550</v>
      </c>
      <c r="F26" s="215"/>
      <c r="G26" s="161">
        <f>G25-E26</f>
        <v>582750</v>
      </c>
      <c r="H26" s="142"/>
    </row>
    <row r="27" spans="1:10" x14ac:dyDescent="0.3">
      <c r="A27" s="145" t="s">
        <v>1433</v>
      </c>
      <c r="B27" s="100" t="s">
        <v>1448</v>
      </c>
      <c r="C27" s="50" t="s">
        <v>1445</v>
      </c>
      <c r="D27" s="148"/>
      <c r="E27" s="160">
        <v>116550</v>
      </c>
      <c r="F27" s="215"/>
      <c r="G27" s="161">
        <f>G26-E27</f>
        <v>466200</v>
      </c>
      <c r="H27" s="142"/>
    </row>
    <row r="28" spans="1:10" x14ac:dyDescent="0.3">
      <c r="A28" s="99"/>
      <c r="B28" s="100"/>
      <c r="C28" s="50"/>
      <c r="D28" s="148"/>
      <c r="E28" s="103"/>
      <c r="F28" s="103"/>
      <c r="G28" s="102"/>
      <c r="H28" s="104"/>
      <c r="J28" s="149"/>
    </row>
    <row r="29" spans="1:10" x14ac:dyDescent="0.3">
      <c r="A29" s="145" t="s">
        <v>177</v>
      </c>
      <c r="B29" s="100" t="s">
        <v>184</v>
      </c>
      <c r="C29" s="84" t="s">
        <v>185</v>
      </c>
      <c r="D29" s="148">
        <v>2916000</v>
      </c>
      <c r="E29" s="146"/>
      <c r="F29" s="101"/>
      <c r="G29" s="147">
        <f>D29</f>
        <v>2916000</v>
      </c>
      <c r="H29" s="142" t="s">
        <v>114</v>
      </c>
      <c r="J29" s="149"/>
    </row>
    <row r="30" spans="1:10" x14ac:dyDescent="0.3">
      <c r="A30" s="99" t="s">
        <v>375</v>
      </c>
      <c r="B30" s="100" t="s">
        <v>550</v>
      </c>
      <c r="C30" s="50" t="s">
        <v>551</v>
      </c>
      <c r="D30" s="146"/>
      <c r="E30" s="198">
        <v>452593.52</v>
      </c>
      <c r="F30" s="101"/>
      <c r="G30" s="161">
        <f>G29-E30</f>
        <v>2463406.48</v>
      </c>
      <c r="H30" s="104"/>
      <c r="J30" s="149"/>
    </row>
    <row r="31" spans="1:10" x14ac:dyDescent="0.3">
      <c r="A31" s="99" t="s">
        <v>574</v>
      </c>
      <c r="B31" s="100" t="s">
        <v>592</v>
      </c>
      <c r="C31" s="50" t="s">
        <v>593</v>
      </c>
      <c r="D31" s="146"/>
      <c r="E31" s="198">
        <v>4500</v>
      </c>
      <c r="F31" s="101"/>
      <c r="G31" s="161">
        <f>G30-E31</f>
        <v>2458906.48</v>
      </c>
      <c r="H31" s="162"/>
      <c r="J31" s="149"/>
    </row>
    <row r="32" spans="1:10" x14ac:dyDescent="0.3">
      <c r="A32" s="99" t="s">
        <v>634</v>
      </c>
      <c r="B32" s="107" t="s">
        <v>690</v>
      </c>
      <c r="C32" s="50" t="s">
        <v>691</v>
      </c>
      <c r="D32" s="146"/>
      <c r="E32" s="198">
        <v>945870.88</v>
      </c>
      <c r="F32" s="101"/>
      <c r="G32" s="161">
        <f>G31-E32</f>
        <v>1513035.6</v>
      </c>
      <c r="H32" s="162"/>
      <c r="J32" s="149"/>
    </row>
    <row r="33" spans="1:10" x14ac:dyDescent="0.3">
      <c r="A33" s="99" t="s">
        <v>795</v>
      </c>
      <c r="B33" s="107" t="s">
        <v>796</v>
      </c>
      <c r="C33" s="84" t="s">
        <v>797</v>
      </c>
      <c r="D33" s="148">
        <v>2916000</v>
      </c>
      <c r="E33" s="198"/>
      <c r="F33" s="101"/>
      <c r="G33" s="161">
        <f>G32+D33</f>
        <v>4429035.5999999996</v>
      </c>
      <c r="H33" s="162"/>
      <c r="J33" s="149"/>
    </row>
    <row r="34" spans="1:10" x14ac:dyDescent="0.3">
      <c r="A34" s="99" t="s">
        <v>888</v>
      </c>
      <c r="B34" s="107" t="s">
        <v>897</v>
      </c>
      <c r="C34" s="86" t="s">
        <v>640</v>
      </c>
      <c r="D34" s="148"/>
      <c r="E34" s="198">
        <v>949645.12</v>
      </c>
      <c r="F34" s="101"/>
      <c r="G34" s="161">
        <f t="shared" ref="G34:G40" si="0">G33-E34</f>
        <v>3479390.4799999995</v>
      </c>
      <c r="H34" s="162"/>
      <c r="J34" s="149"/>
    </row>
    <row r="35" spans="1:10" ht="18.75" x14ac:dyDescent="0.3">
      <c r="A35" s="99"/>
      <c r="B35" s="107"/>
      <c r="C35" s="86" t="s">
        <v>1497</v>
      </c>
      <c r="D35" s="148"/>
      <c r="E35" s="329">
        <v>-1000</v>
      </c>
      <c r="F35" s="101"/>
      <c r="G35" s="161">
        <f t="shared" si="0"/>
        <v>3480390.4799999995</v>
      </c>
      <c r="H35" s="331" t="s">
        <v>1498</v>
      </c>
      <c r="J35" s="149"/>
    </row>
    <row r="36" spans="1:10" x14ac:dyDescent="0.3">
      <c r="A36" s="99" t="s">
        <v>1054</v>
      </c>
      <c r="B36" s="107" t="s">
        <v>1055</v>
      </c>
      <c r="C36" s="86" t="s">
        <v>895</v>
      </c>
      <c r="D36" s="148"/>
      <c r="E36" s="198">
        <v>708126</v>
      </c>
      <c r="F36" s="101"/>
      <c r="G36" s="161">
        <f t="shared" si="0"/>
        <v>2772264.4799999995</v>
      </c>
      <c r="H36" s="162"/>
      <c r="J36" s="149"/>
    </row>
    <row r="37" spans="1:10" x14ac:dyDescent="0.3">
      <c r="A37" s="99" t="s">
        <v>1130</v>
      </c>
      <c r="B37" s="107" t="s">
        <v>1127</v>
      </c>
      <c r="C37" s="86" t="s">
        <v>1153</v>
      </c>
      <c r="D37" s="148"/>
      <c r="E37" s="198">
        <v>66447</v>
      </c>
      <c r="F37" s="101"/>
      <c r="G37" s="161">
        <f t="shared" si="0"/>
        <v>2705817.4799999995</v>
      </c>
      <c r="H37" s="162"/>
      <c r="J37" s="149"/>
    </row>
    <row r="38" spans="1:10" x14ac:dyDescent="0.3">
      <c r="A38" s="99" t="s">
        <v>1311</v>
      </c>
      <c r="B38" s="107" t="s">
        <v>1312</v>
      </c>
      <c r="C38" s="86" t="s">
        <v>1313</v>
      </c>
      <c r="D38" s="148"/>
      <c r="E38" s="198">
        <v>664838.72</v>
      </c>
      <c r="F38" s="101"/>
      <c r="G38" s="161">
        <f t="shared" si="0"/>
        <v>2040978.7599999995</v>
      </c>
      <c r="H38" s="162"/>
      <c r="J38" s="149"/>
    </row>
    <row r="39" spans="1:10" x14ac:dyDescent="0.3">
      <c r="A39" s="99" t="s">
        <v>1186</v>
      </c>
      <c r="B39" s="107" t="s">
        <v>1249</v>
      </c>
      <c r="C39" s="86" t="s">
        <v>1275</v>
      </c>
      <c r="D39" s="148"/>
      <c r="E39" s="198">
        <v>243000</v>
      </c>
      <c r="F39" s="101"/>
      <c r="G39" s="161">
        <f t="shared" si="0"/>
        <v>1797978.7599999995</v>
      </c>
      <c r="H39" s="162"/>
      <c r="J39" s="149"/>
    </row>
    <row r="40" spans="1:10" x14ac:dyDescent="0.3">
      <c r="A40" s="99" t="s">
        <v>1215</v>
      </c>
      <c r="B40" s="107" t="s">
        <v>1257</v>
      </c>
      <c r="C40" s="86" t="s">
        <v>1260</v>
      </c>
      <c r="D40" s="148"/>
      <c r="E40" s="198">
        <v>81000</v>
      </c>
      <c r="F40" s="101"/>
      <c r="G40" s="161">
        <f t="shared" si="0"/>
        <v>1716978.7599999995</v>
      </c>
      <c r="H40" s="162"/>
      <c r="J40" s="149"/>
    </row>
    <row r="41" spans="1:10" x14ac:dyDescent="0.3">
      <c r="A41" s="145" t="s">
        <v>1343</v>
      </c>
      <c r="B41" s="107" t="s">
        <v>1346</v>
      </c>
      <c r="C41" s="50" t="s">
        <v>1347</v>
      </c>
      <c r="D41" s="148">
        <v>2808000</v>
      </c>
      <c r="E41" s="198"/>
      <c r="F41" s="101"/>
      <c r="G41" s="161">
        <f>G40+D41</f>
        <v>4524978.76</v>
      </c>
      <c r="H41" s="162" t="s">
        <v>1348</v>
      </c>
      <c r="J41" s="149"/>
    </row>
    <row r="42" spans="1:10" x14ac:dyDescent="0.3">
      <c r="A42" s="99"/>
      <c r="B42" s="107" t="s">
        <v>1346</v>
      </c>
      <c r="C42" s="50" t="s">
        <v>1349</v>
      </c>
      <c r="D42" s="148">
        <v>252000</v>
      </c>
      <c r="E42" s="198"/>
      <c r="F42" s="101"/>
      <c r="G42" s="161">
        <f>G41+D42</f>
        <v>4776978.76</v>
      </c>
      <c r="H42" s="162"/>
      <c r="J42" s="149"/>
    </row>
    <row r="43" spans="1:10" x14ac:dyDescent="0.3">
      <c r="A43" s="99" t="s">
        <v>1351</v>
      </c>
      <c r="B43" s="107" t="s">
        <v>1391</v>
      </c>
      <c r="C43" s="86" t="s">
        <v>1390</v>
      </c>
      <c r="D43" s="148"/>
      <c r="E43" s="198">
        <v>841645.12</v>
      </c>
      <c r="F43" s="101"/>
      <c r="G43" s="161">
        <f>G42-E43</f>
        <v>3935333.6399999997</v>
      </c>
      <c r="H43" s="162"/>
      <c r="J43" s="149"/>
    </row>
    <row r="44" spans="1:10" x14ac:dyDescent="0.3">
      <c r="A44" s="99" t="s">
        <v>1416</v>
      </c>
      <c r="B44" s="107" t="s">
        <v>1426</v>
      </c>
      <c r="C44" s="86" t="s">
        <v>1425</v>
      </c>
      <c r="D44" s="148"/>
      <c r="E44" s="198">
        <v>99000</v>
      </c>
      <c r="F44" s="101"/>
      <c r="G44" s="161">
        <f t="shared" ref="G44:G46" si="1">G43-E44</f>
        <v>3836333.6399999997</v>
      </c>
      <c r="H44" s="162"/>
      <c r="J44" s="149"/>
    </row>
    <row r="45" spans="1:10" x14ac:dyDescent="0.3">
      <c r="A45" s="99" t="s">
        <v>1433</v>
      </c>
      <c r="B45" s="107" t="s">
        <v>1443</v>
      </c>
      <c r="C45" s="86" t="s">
        <v>1444</v>
      </c>
      <c r="D45" s="148"/>
      <c r="E45" s="198">
        <v>18000</v>
      </c>
      <c r="F45" s="101"/>
      <c r="G45" s="161">
        <f t="shared" si="1"/>
        <v>3818333.6399999997</v>
      </c>
      <c r="H45" s="162"/>
      <c r="J45" s="149"/>
    </row>
    <row r="46" spans="1:10" x14ac:dyDescent="0.3">
      <c r="A46" s="99" t="s">
        <v>1526</v>
      </c>
      <c r="B46" s="107" t="s">
        <v>1538</v>
      </c>
      <c r="C46" s="86" t="s">
        <v>1539</v>
      </c>
      <c r="D46" s="148"/>
      <c r="E46" s="198">
        <v>503707.64</v>
      </c>
      <c r="F46" s="101"/>
      <c r="G46" s="161">
        <f t="shared" si="1"/>
        <v>3314625.9999999995</v>
      </c>
      <c r="H46" s="162"/>
      <c r="J46" s="149"/>
    </row>
    <row r="47" spans="1:10" x14ac:dyDescent="0.3">
      <c r="A47" s="99"/>
      <c r="B47" s="107"/>
      <c r="C47" s="86"/>
      <c r="D47" s="146"/>
      <c r="E47" s="198"/>
      <c r="F47" s="101"/>
      <c r="G47" s="161"/>
      <c r="H47" s="162"/>
      <c r="J47" s="149"/>
    </row>
    <row r="48" spans="1:10" x14ac:dyDescent="0.3">
      <c r="A48" s="99" t="s">
        <v>187</v>
      </c>
      <c r="B48" s="107" t="s">
        <v>188</v>
      </c>
      <c r="C48" s="84" t="s">
        <v>186</v>
      </c>
      <c r="D48" s="146">
        <v>3496500</v>
      </c>
      <c r="E48" s="198"/>
      <c r="F48" s="101"/>
      <c r="G48" s="161">
        <f>D48</f>
        <v>3496500</v>
      </c>
      <c r="H48" s="142" t="s">
        <v>151</v>
      </c>
      <c r="J48" s="149"/>
    </row>
    <row r="49" spans="1:10" x14ac:dyDescent="0.3">
      <c r="A49" s="145" t="s">
        <v>235</v>
      </c>
      <c r="B49" s="100" t="s">
        <v>249</v>
      </c>
      <c r="C49" s="50" t="s">
        <v>236</v>
      </c>
      <c r="D49" s="146"/>
      <c r="E49" s="198">
        <v>1134000</v>
      </c>
      <c r="F49" s="101"/>
      <c r="G49" s="161">
        <f>G48-E49</f>
        <v>2362500</v>
      </c>
      <c r="H49" s="142"/>
      <c r="J49" s="149"/>
    </row>
    <row r="50" spans="1:10" x14ac:dyDescent="0.3">
      <c r="A50" s="145" t="s">
        <v>375</v>
      </c>
      <c r="B50" s="100">
        <v>5361</v>
      </c>
      <c r="C50" s="50" t="s">
        <v>370</v>
      </c>
      <c r="D50" s="146"/>
      <c r="E50" s="198">
        <v>554298.22</v>
      </c>
      <c r="F50" s="101"/>
      <c r="G50" s="161">
        <f>G49-E50</f>
        <v>1808201.78</v>
      </c>
      <c r="H50" s="104"/>
      <c r="J50" s="149"/>
    </row>
    <row r="51" spans="1:10" x14ac:dyDescent="0.3">
      <c r="A51" s="145" t="s">
        <v>642</v>
      </c>
      <c r="B51" s="100" t="s">
        <v>704</v>
      </c>
      <c r="C51" s="50" t="s">
        <v>640</v>
      </c>
      <c r="D51" s="146"/>
      <c r="E51" s="198">
        <v>590879.92000000004</v>
      </c>
      <c r="F51" s="101"/>
      <c r="G51" s="161">
        <f>G50-E51</f>
        <v>1217321.8599999999</v>
      </c>
      <c r="H51" s="104"/>
      <c r="J51" s="149"/>
    </row>
    <row r="52" spans="1:10" x14ac:dyDescent="0.3">
      <c r="A52" s="145" t="s">
        <v>904</v>
      </c>
      <c r="B52" s="107" t="s">
        <v>918</v>
      </c>
      <c r="C52" s="50" t="s">
        <v>895</v>
      </c>
      <c r="D52" s="146"/>
      <c r="E52" s="198">
        <v>578250.29</v>
      </c>
      <c r="F52" s="101"/>
      <c r="G52" s="161">
        <f>G51-E52</f>
        <v>639071.56999999983</v>
      </c>
      <c r="H52" s="104"/>
      <c r="J52" s="149"/>
    </row>
    <row r="53" spans="1:10" x14ac:dyDescent="0.3">
      <c r="A53" s="145" t="s">
        <v>1066</v>
      </c>
      <c r="B53" s="107" t="s">
        <v>1067</v>
      </c>
      <c r="C53" s="50" t="s">
        <v>1065</v>
      </c>
      <c r="D53" s="146"/>
      <c r="E53" s="198">
        <v>579701.77</v>
      </c>
      <c r="F53" s="101"/>
      <c r="G53" s="161">
        <f>G52-E53</f>
        <v>59369.799999999814</v>
      </c>
      <c r="H53" s="104"/>
      <c r="J53" s="149"/>
    </row>
    <row r="54" spans="1:10" x14ac:dyDescent="0.3">
      <c r="A54" s="145" t="s">
        <v>1318</v>
      </c>
      <c r="B54" s="107" t="s">
        <v>1322</v>
      </c>
      <c r="C54" s="84" t="s">
        <v>1323</v>
      </c>
      <c r="D54" s="146">
        <v>3437500</v>
      </c>
      <c r="E54" s="198"/>
      <c r="F54" s="101"/>
      <c r="G54" s="161">
        <f>G53+D54</f>
        <v>3496869.8</v>
      </c>
      <c r="H54" s="104" t="s">
        <v>1321</v>
      </c>
      <c r="J54" s="149"/>
    </row>
    <row r="55" spans="1:10" x14ac:dyDescent="0.3">
      <c r="A55" s="145" t="s">
        <v>1416</v>
      </c>
      <c r="B55" s="107" t="s">
        <v>1424</v>
      </c>
      <c r="C55" s="50" t="s">
        <v>1381</v>
      </c>
      <c r="D55" s="146"/>
      <c r="E55" s="198">
        <v>582750</v>
      </c>
      <c r="F55" s="101"/>
      <c r="G55" s="161">
        <f>G54-E55</f>
        <v>2914119.8</v>
      </c>
      <c r="H55" s="104"/>
      <c r="J55" s="149"/>
    </row>
    <row r="56" spans="1:10" ht="18.75" x14ac:dyDescent="0.3">
      <c r="A56" s="145" t="s">
        <v>1474</v>
      </c>
      <c r="B56" s="107"/>
      <c r="C56" s="50" t="s">
        <v>1475</v>
      </c>
      <c r="D56" s="146"/>
      <c r="E56" s="329">
        <v>-12702</v>
      </c>
      <c r="F56" s="101"/>
      <c r="G56" s="161">
        <f t="shared" ref="G56:G58" si="2">G55-E56</f>
        <v>2926821.8</v>
      </c>
      <c r="H56" s="104"/>
      <c r="J56" s="149"/>
    </row>
    <row r="57" spans="1:10" x14ac:dyDescent="0.3">
      <c r="A57" s="145" t="s">
        <v>1433</v>
      </c>
      <c r="B57" s="107" t="s">
        <v>1453</v>
      </c>
      <c r="C57" s="50" t="s">
        <v>1454</v>
      </c>
      <c r="D57" s="146"/>
      <c r="E57" s="198">
        <v>582750</v>
      </c>
      <c r="F57" s="101"/>
      <c r="G57" s="161">
        <f t="shared" si="2"/>
        <v>2344071.7999999998</v>
      </c>
      <c r="H57" s="104"/>
      <c r="J57" s="149"/>
    </row>
    <row r="58" spans="1:10" ht="18.75" x14ac:dyDescent="0.3">
      <c r="A58" s="145" t="s">
        <v>1469</v>
      </c>
      <c r="B58" s="107"/>
      <c r="C58" s="50" t="s">
        <v>1476</v>
      </c>
      <c r="D58" s="146"/>
      <c r="E58" s="329">
        <v>-7821.06</v>
      </c>
      <c r="F58" s="101"/>
      <c r="G58" s="161">
        <f t="shared" si="2"/>
        <v>2351892.86</v>
      </c>
      <c r="H58" s="104"/>
      <c r="J58" s="149"/>
    </row>
    <row r="59" spans="1:10" x14ac:dyDescent="0.3">
      <c r="A59" s="145"/>
      <c r="B59" s="107"/>
      <c r="C59" s="50"/>
      <c r="D59" s="146"/>
      <c r="E59" s="198"/>
      <c r="F59" s="101"/>
      <c r="G59" s="161"/>
      <c r="H59" s="104"/>
      <c r="J59" s="149"/>
    </row>
    <row r="60" spans="1:10" x14ac:dyDescent="0.3">
      <c r="A60" s="99" t="s">
        <v>202</v>
      </c>
      <c r="B60" s="107" t="s">
        <v>203</v>
      </c>
      <c r="C60" s="84" t="s">
        <v>305</v>
      </c>
      <c r="D60" s="146">
        <v>1732500</v>
      </c>
      <c r="E60" s="198"/>
      <c r="F60" s="101"/>
      <c r="G60" s="161">
        <f>D60</f>
        <v>1732500</v>
      </c>
      <c r="H60" s="142" t="s">
        <v>151</v>
      </c>
      <c r="J60" s="149"/>
    </row>
    <row r="61" spans="1:10" x14ac:dyDescent="0.3">
      <c r="A61" s="99" t="s">
        <v>307</v>
      </c>
      <c r="B61" s="100" t="s">
        <v>306</v>
      </c>
      <c r="C61" s="50" t="s">
        <v>236</v>
      </c>
      <c r="D61" s="146"/>
      <c r="E61" s="198">
        <v>693000</v>
      </c>
      <c r="F61" s="101"/>
      <c r="G61" s="161">
        <f>G60-E61</f>
        <v>1039500</v>
      </c>
      <c r="H61" s="104"/>
      <c r="J61" s="149"/>
    </row>
    <row r="62" spans="1:10" x14ac:dyDescent="0.3">
      <c r="A62" s="145" t="s">
        <v>375</v>
      </c>
      <c r="B62" s="100" t="s">
        <v>553</v>
      </c>
      <c r="C62" s="50" t="s">
        <v>370</v>
      </c>
      <c r="D62" s="146"/>
      <c r="E62" s="198">
        <v>346500</v>
      </c>
      <c r="F62" s="146"/>
      <c r="G62" s="161">
        <f>G61-E62</f>
        <v>693000</v>
      </c>
      <c r="H62" s="104"/>
      <c r="J62" s="149"/>
    </row>
    <row r="63" spans="1:10" x14ac:dyDescent="0.3">
      <c r="A63" s="145" t="s">
        <v>642</v>
      </c>
      <c r="B63" s="100" t="s">
        <v>703</v>
      </c>
      <c r="C63" s="50" t="s">
        <v>640</v>
      </c>
      <c r="D63" s="146"/>
      <c r="E63" s="198">
        <v>346500</v>
      </c>
      <c r="F63" s="101"/>
      <c r="G63" s="161">
        <f>G62-E63</f>
        <v>346500</v>
      </c>
      <c r="H63" s="104"/>
      <c r="J63" s="149"/>
    </row>
    <row r="64" spans="1:10" x14ac:dyDescent="0.3">
      <c r="A64" s="145" t="s">
        <v>904</v>
      </c>
      <c r="B64" s="100" t="s">
        <v>925</v>
      </c>
      <c r="C64" s="50" t="s">
        <v>895</v>
      </c>
      <c r="D64" s="146"/>
      <c r="E64" s="198">
        <v>346500</v>
      </c>
      <c r="F64" s="101"/>
      <c r="G64" s="274">
        <f>G63-E64</f>
        <v>0</v>
      </c>
      <c r="H64" s="104"/>
      <c r="J64" s="149"/>
    </row>
    <row r="65" spans="1:12" x14ac:dyDescent="0.3">
      <c r="A65" s="99" t="s">
        <v>1114</v>
      </c>
      <c r="B65" s="100" t="s">
        <v>1082</v>
      </c>
      <c r="C65" s="84" t="s">
        <v>1083</v>
      </c>
      <c r="D65" s="146">
        <v>2425500</v>
      </c>
      <c r="E65" s="198"/>
      <c r="F65" s="101"/>
      <c r="G65" s="274">
        <f>G64+D65</f>
        <v>2425500</v>
      </c>
      <c r="H65" s="104" t="s">
        <v>1113</v>
      </c>
      <c r="J65" s="149"/>
    </row>
    <row r="66" spans="1:12" x14ac:dyDescent="0.3">
      <c r="A66" s="145" t="s">
        <v>1251</v>
      </c>
      <c r="B66" s="100" t="s">
        <v>1254</v>
      </c>
      <c r="C66" s="50" t="s">
        <v>1065</v>
      </c>
      <c r="D66" s="146"/>
      <c r="E66" s="198">
        <v>693000</v>
      </c>
      <c r="F66" s="101"/>
      <c r="G66" s="274">
        <f>G65-E66</f>
        <v>1732500</v>
      </c>
      <c r="H66" s="104" t="s">
        <v>1308</v>
      </c>
      <c r="J66" s="149"/>
    </row>
    <row r="67" spans="1:12" x14ac:dyDescent="0.3">
      <c r="A67" s="145" t="s">
        <v>1451</v>
      </c>
      <c r="B67" s="100" t="s">
        <v>1452</v>
      </c>
      <c r="C67" s="50" t="s">
        <v>1445</v>
      </c>
      <c r="D67" s="146"/>
      <c r="E67" s="198">
        <v>315000</v>
      </c>
      <c r="F67" s="101"/>
      <c r="G67" s="274">
        <f>G66-E67</f>
        <v>1417500</v>
      </c>
      <c r="H67" s="104"/>
      <c r="J67" s="149"/>
    </row>
    <row r="68" spans="1:12" x14ac:dyDescent="0.3">
      <c r="A68" s="145"/>
      <c r="B68" s="100"/>
      <c r="C68" s="50"/>
      <c r="D68" s="146"/>
      <c r="E68" s="198"/>
      <c r="F68" s="101"/>
      <c r="G68" s="274"/>
      <c r="H68" s="104"/>
      <c r="J68" s="149"/>
    </row>
    <row r="69" spans="1:12" x14ac:dyDescent="0.3">
      <c r="A69" s="332"/>
      <c r="B69" s="247"/>
      <c r="C69" s="126"/>
      <c r="D69" s="153"/>
      <c r="E69" s="153"/>
      <c r="F69" s="153"/>
      <c r="G69" s="154"/>
      <c r="H69" s="162"/>
      <c r="I69" s="150"/>
      <c r="J69" s="152"/>
      <c r="K69" s="150"/>
      <c r="L69" s="150"/>
    </row>
    <row r="70" spans="1:12" ht="18" thickBot="1" x14ac:dyDescent="0.35">
      <c r="A70" s="99"/>
      <c r="B70" s="155"/>
      <c r="C70" s="143" t="s">
        <v>20</v>
      </c>
      <c r="D70" s="209">
        <f>SUM(D6:D69)</f>
        <v>36406100</v>
      </c>
      <c r="E70" s="193">
        <f>SUM(E6:E69)</f>
        <v>23830616.170000002</v>
      </c>
      <c r="F70" s="182">
        <f>SUM(F6:F69)</f>
        <v>0</v>
      </c>
      <c r="G70" s="156">
        <f>D70-E70-F70</f>
        <v>12575483.829999998</v>
      </c>
      <c r="H70" s="104"/>
      <c r="I70" s="150"/>
      <c r="J70" s="152"/>
      <c r="K70" s="150"/>
      <c r="L70" s="150"/>
    </row>
    <row r="71" spans="1:12" ht="18" thickTop="1" x14ac:dyDescent="0.3">
      <c r="B71" s="157"/>
      <c r="I71" s="150"/>
      <c r="J71" s="152"/>
      <c r="K71" s="150"/>
      <c r="L71" s="150"/>
    </row>
    <row r="72" spans="1:12" x14ac:dyDescent="0.3">
      <c r="I72" s="150"/>
      <c r="J72" s="150"/>
      <c r="K72" s="150"/>
      <c r="L72" s="150"/>
    </row>
    <row r="73" spans="1:12" x14ac:dyDescent="0.3">
      <c r="I73" s="150"/>
      <c r="J73" s="150"/>
      <c r="K73" s="150"/>
      <c r="L73" s="150"/>
    </row>
    <row r="74" spans="1:12" x14ac:dyDescent="0.3">
      <c r="D74" s="144"/>
    </row>
    <row r="75" spans="1:12" x14ac:dyDescent="0.3">
      <c r="D75" s="144"/>
    </row>
    <row r="76" spans="1:12" x14ac:dyDescent="0.3">
      <c r="D76" s="144"/>
    </row>
    <row r="77" spans="1:12" x14ac:dyDescent="0.3">
      <c r="D77" s="151"/>
    </row>
    <row r="78" spans="1:12" x14ac:dyDescent="0.3">
      <c r="D78" s="151"/>
    </row>
    <row r="80" spans="1:12" x14ac:dyDescent="0.3">
      <c r="D80" s="159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31</vt:i4>
      </vt:variant>
      <vt:variant>
        <vt:lpstr>ช่วงที่มีชื่อ</vt:lpstr>
      </vt:variant>
      <vt:variant>
        <vt:i4>29</vt:i4>
      </vt:variant>
    </vt:vector>
  </HeadingPairs>
  <TitlesOfParts>
    <vt:vector size="60" baseType="lpstr">
      <vt:lpstr>%ปี2562</vt:lpstr>
      <vt:lpstr>%ปี62 งบ (2)</vt:lpstr>
      <vt:lpstr>งบประจำคุม 1ล้าน</vt:lpstr>
      <vt:lpstr>สำรองฯ</vt:lpstr>
      <vt:lpstr>ของบประจำเพิ่ม</vt:lpstr>
      <vt:lpstr>งบโครงการ1ล้าน(แรก) รหัส002</vt:lpstr>
      <vt:lpstr>งบโครงการ1ล้าน(แรก) รหัส001</vt:lpstr>
      <vt:lpstr>พนง.ราชการ</vt:lpstr>
      <vt:lpstr>39002ค่าจ้าง-ตอบแทน</vt:lpstr>
      <vt:lpstr>ยาม.แม่บ้าน+จ้างนักการ39002</vt:lpstr>
      <vt:lpstr>26004ครูพี่เลี้ยง</vt:lpstr>
      <vt:lpstr>ครูแผ่นดิน280410</vt:lpstr>
      <vt:lpstr>สมทบกองทุนลูกจ้าง</vt:lpstr>
      <vt:lpstr>ค่าเช่าบ้าน-ประกันสังคม</vt:lpstr>
      <vt:lpstr>รหัส39001ก่อนฯ</vt:lpstr>
      <vt:lpstr>รหัส39002ใหญ่</vt:lpstr>
      <vt:lpstr>รหัส32031..NT</vt:lpstr>
      <vt:lpstr>รหัส32031.ปฐมวัย12รร</vt:lpstr>
      <vt:lpstr>DLTVรหัส33061</vt:lpstr>
      <vt:lpstr>รหัส33061 (2)</vt:lpstr>
      <vt:lpstr>รหัส33062</vt:lpstr>
      <vt:lpstr>รหัส39007</vt:lpstr>
      <vt:lpstr>61037รหัส</vt:lpstr>
      <vt:lpstr>39004รหัสเรียนรวม</vt:lpstr>
      <vt:lpstr>งบยาเสพติด06036</vt:lpstr>
      <vt:lpstr>งบยาเสพติด68รร.</vt:lpstr>
      <vt:lpstr>กรรมการสถานศึกษา190รร.</vt:lpstr>
      <vt:lpstr>ค่าเช่าเน็ต39002</vt:lpstr>
      <vt:lpstr>ค่าพาหนะรหัส33061</vt:lpstr>
      <vt:lpstr>อุดหนุนร.ร.</vt:lpstr>
      <vt:lpstr>งบกลางอื่น</vt:lpstr>
      <vt:lpstr>'26004ครูพี่เลี้ยง'!Print_Titles</vt:lpstr>
      <vt:lpstr>'39002ค่าจ้าง-ตอบแทน'!Print_Titles</vt:lpstr>
      <vt:lpstr>'39004รหัสเรียนรวม'!Print_Titles</vt:lpstr>
      <vt:lpstr>'61037รหัส'!Print_Titles</vt:lpstr>
      <vt:lpstr>DLTVรหัส33061!Print_Titles</vt:lpstr>
      <vt:lpstr>กรรมการสถานศึกษา190รร.!Print_Titles</vt:lpstr>
      <vt:lpstr>ของบประจำเพิ่ม!Print_Titles</vt:lpstr>
      <vt:lpstr>ครูแผ่นดิน280410!Print_Titles</vt:lpstr>
      <vt:lpstr>ค่าเช่าเน็ต39002!Print_Titles</vt:lpstr>
      <vt:lpstr>'ค่าเช่าบ้าน-ประกันสังคม'!Print_Titles</vt:lpstr>
      <vt:lpstr>ค่าพาหนะรหัส33061!Print_Titles</vt:lpstr>
      <vt:lpstr>งบกลางอื่น!Print_Titles</vt:lpstr>
      <vt:lpstr>'งบโครงการ1ล้าน(แรก) รหัส001'!Print_Titles</vt:lpstr>
      <vt:lpstr>'งบโครงการ1ล้าน(แรก) รหัส002'!Print_Titles</vt:lpstr>
      <vt:lpstr>'งบประจำคุม 1ล้าน'!Print_Titles</vt:lpstr>
      <vt:lpstr>งบยาเสพติด06036!Print_Titles</vt:lpstr>
      <vt:lpstr>งบยาเสพติด68รร.!Print_Titles</vt:lpstr>
      <vt:lpstr>พนง.ราชการ!Print_Titles</vt:lpstr>
      <vt:lpstr>'ยาม.แม่บ้าน+จ้างนักการ39002'!Print_Titles</vt:lpstr>
      <vt:lpstr>รหัส32031..NT!Print_Titles</vt:lpstr>
      <vt:lpstr>รหัส32031.ปฐมวัย12รร!Print_Titles</vt:lpstr>
      <vt:lpstr>'รหัส33061 (2)'!Print_Titles</vt:lpstr>
      <vt:lpstr>รหัส33062!Print_Titles</vt:lpstr>
      <vt:lpstr>รหัส39001ก่อนฯ!Print_Titles</vt:lpstr>
      <vt:lpstr>รหัส39002ใหญ่!Print_Titles</vt:lpstr>
      <vt:lpstr>รหัส39007!Print_Titles</vt:lpstr>
      <vt:lpstr>สมทบกองทุนลูกจ้าง!Print_Titles</vt:lpstr>
      <vt:lpstr>สำรองฯ!Print_Titles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money1</cp:lastModifiedBy>
  <cp:lastPrinted>2019-06-17T03:28:03Z</cp:lastPrinted>
  <dcterms:created xsi:type="dcterms:W3CDTF">2011-10-16T03:43:31Z</dcterms:created>
  <dcterms:modified xsi:type="dcterms:W3CDTF">2020-01-30T12:08:14Z</dcterms:modified>
</cp:coreProperties>
</file>