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480" yWindow="5655" windowWidth="11355" windowHeight="3030" firstSheet="51" activeTab="51"/>
  </bookViews>
  <sheets>
    <sheet name="%ปี2562" sheetId="1" r:id="rId1"/>
    <sheet name="%ปี62 งบ (2)" sheetId="173" r:id="rId2"/>
    <sheet name="งบประจำคุม 1ล้าน" sheetId="178" r:id="rId3"/>
    <sheet name="สรุปคงเหลือ" sheetId="237" r:id="rId4"/>
    <sheet name="งบ1ล้าน หลังสุด" sheetId="229" r:id="rId5"/>
    <sheet name="เงินกัน PO" sheetId="236" r:id="rId6"/>
    <sheet name="รับงบ002(บริหาร) (3)" sheetId="233" r:id="rId7"/>
    <sheet name="งบโครงการ1ล้าน(แรก) รหัส002" sheetId="185" r:id="rId8"/>
    <sheet name="งบโครงการ1ล้าน(แรก) รหัส001" sheetId="177" r:id="rId9"/>
    <sheet name="งบศิลป22ศูนย์" sheetId="206" r:id="rId10"/>
    <sheet name="งบโครงการรหส33061" sheetId="199" r:id="rId11"/>
    <sheet name="งบโครงการรหส33045" sheetId="200" r:id="rId12"/>
    <sheet name="พนง.ราชการ" sheetId="110" r:id="rId13"/>
    <sheet name="39002ค่าจ้าง-ตอบแทน" sheetId="114" r:id="rId14"/>
    <sheet name="ธุรการ33045และ33062" sheetId="198" r:id="rId15"/>
    <sheet name="ธุรการ9,000ครั้งสุดท้าย" sheetId="235" r:id="rId16"/>
    <sheet name="ยาม.แม่บ้าน+จ้างนักการ39002" sheetId="123" r:id="rId17"/>
    <sheet name="ค่าจ้าง002 เหลือจ่าย" sheetId="231" r:id="rId18"/>
    <sheet name="นักการSp2สังคม" sheetId="234" r:id="rId19"/>
    <sheet name="26004ครูพี่เลี้ยง" sheetId="125" r:id="rId20"/>
    <sheet name="ครูแผ่นดิน280410" sheetId="124" r:id="rId21"/>
    <sheet name="สมทบกองทุนลูกจ้าง" sheetId="191" r:id="rId22"/>
    <sheet name="ค่าเช่าบ้าน-ประกันสังคม" sheetId="18" r:id="rId23"/>
    <sheet name="ประกันสังคม (2)" sheetId="211" r:id="rId24"/>
    <sheet name="รหัส39001ก่อนฯ" sheetId="127" r:id="rId25"/>
    <sheet name="บ้านวิทย์ 12 รร" sheetId="212" r:id="rId26"/>
    <sheet name="บ้านนักวิทย์68รร." sheetId="202" r:id="rId27"/>
    <sheet name="รหัส39002" sheetId="184" r:id="rId28"/>
    <sheet name="รหัส32031..NT" sheetId="175" r:id="rId29"/>
    <sheet name="ประกันแลกเป้า" sheetId="192" r:id="rId30"/>
    <sheet name="รหัส32031.ปฐมวัย12รร (2)" sheetId="218" r:id="rId31"/>
    <sheet name="DLTVรหัส33061" sheetId="179" r:id="rId32"/>
    <sheet name="ช่อมDLTV 24 รร" sheetId="215" r:id="rId33"/>
    <sheet name="DLTV10โรงเรียน" sheetId="230" r:id="rId34"/>
    <sheet name="รหัส33061 (2)" sheetId="187" r:id="rId35"/>
    <sheet name="รหัส33061 ซื้อหนังสือ (2)" sheetId="214" r:id="rId36"/>
    <sheet name="รหัส33062" sheetId="180" r:id="rId37"/>
    <sheet name="รหัส 51041" sheetId="210" r:id="rId38"/>
    <sheet name="รหัส39007" sheetId="183" r:id="rId39"/>
    <sheet name="61037รหัส" sheetId="189" r:id="rId40"/>
    <sheet name="61037รหัส 20 รร." sheetId="217" r:id="rId41"/>
    <sheet name="39004รหัสเรียนรวม" sheetId="190" r:id="rId42"/>
    <sheet name="งบยาเสพติด06036" sheetId="186" r:id="rId43"/>
    <sheet name="งบยาเสพติด68รร." sheetId="193" r:id="rId44"/>
    <sheet name="กรรมการสถานศึกษา190รร." sheetId="194" r:id="rId45"/>
    <sheet name="ค่าเช่าเน็ต39002" sheetId="182" r:id="rId46"/>
    <sheet name="ค่าเช่าเน็ต39002 (ไม่ใช้อันนี้)" sheetId="216" r:id="rId47"/>
    <sheet name="ค่าพาหนะรหัส33061" sheetId="181" r:id="rId48"/>
    <sheet name="ค่าจัดการรถตู้กระบะ" sheetId="204" r:id="rId49"/>
    <sheet name="อุดหนุนร.ร." sheetId="176" r:id="rId50"/>
    <sheet name="ค่าเน็ตครั้ง2" sheetId="195" r:id="rId51"/>
    <sheet name="งบกลางอื่น (2)" sheetId="232" r:id="rId52"/>
  </sheets>
  <definedNames>
    <definedName name="_xlnm.Print_Titles" localSheetId="19">'26004ครูพี่เลี้ยง'!$4:$5</definedName>
    <definedName name="_xlnm.Print_Titles" localSheetId="13">'39002ค่าจ้าง-ตอบแทน'!$4:$5</definedName>
    <definedName name="_xlnm.Print_Titles" localSheetId="41">'39004รหัสเรียนรวม'!$5:$6</definedName>
    <definedName name="_xlnm.Print_Titles" localSheetId="39">'61037รหัส'!$4:$5</definedName>
    <definedName name="_xlnm.Print_Titles" localSheetId="40">'61037รหัส 20 รร.'!$4:$5</definedName>
    <definedName name="_xlnm.Print_Titles" localSheetId="33">DLTV10โรงเรียน!$5:$6</definedName>
    <definedName name="_xlnm.Print_Titles" localSheetId="31">DLTVรหัส33061!$5:$6</definedName>
    <definedName name="_xlnm.Print_Titles" localSheetId="44">กรรมการสถานศึกษา190รร.!$5:$6</definedName>
    <definedName name="_xlnm.Print_Titles" localSheetId="20">ครูแผ่นดิน280410!$4:$5</definedName>
    <definedName name="_xlnm.Print_Titles" localSheetId="48">ค่าจัดการรถตู้กระบะ!$4:$5</definedName>
    <definedName name="_xlnm.Print_Titles" localSheetId="17">'ค่าจ้าง002 เหลือจ่าย'!$4:$5</definedName>
    <definedName name="_xlnm.Print_Titles" localSheetId="45">ค่าเช่าเน็ต39002!$4:$5</definedName>
    <definedName name="_xlnm.Print_Titles" localSheetId="46">'ค่าเช่าเน็ต39002 (ไม่ใช้อันนี้)'!$4:$5</definedName>
    <definedName name="_xlnm.Print_Titles" localSheetId="22">'ค่าเช่าบ้าน-ประกันสังคม'!$5:$6</definedName>
    <definedName name="_xlnm.Print_Titles" localSheetId="50">ค่าเน็ตครั้ง2!$4:$5</definedName>
    <definedName name="_xlnm.Print_Titles" localSheetId="47">ค่าพาหนะรหัส33061!$4:$5</definedName>
    <definedName name="_xlnm.Print_Titles" localSheetId="51">'งบกลางอื่น (2)'!$4:$5</definedName>
    <definedName name="_xlnm.Print_Titles" localSheetId="8">'งบโครงการ1ล้าน(แรก) รหัส001'!$4:$5</definedName>
    <definedName name="_xlnm.Print_Titles" localSheetId="7">'งบโครงการ1ล้าน(แรก) รหัส002'!$4:$5</definedName>
    <definedName name="_xlnm.Print_Titles" localSheetId="11">งบโครงการรหส33045!$4:$5</definedName>
    <definedName name="_xlnm.Print_Titles" localSheetId="10">งบโครงการรหส33061!$4:$5</definedName>
    <definedName name="_xlnm.Print_Titles" localSheetId="2">'งบประจำคุม 1ล้าน'!$4:$5</definedName>
    <definedName name="_xlnm.Print_Titles" localSheetId="42">งบยาเสพติด06036!$5:$6</definedName>
    <definedName name="_xlnm.Print_Titles" localSheetId="43">งบยาเสพติด68รร.!$4:$5</definedName>
    <definedName name="_xlnm.Print_Titles" localSheetId="9">งบศิลป22ศูนย์!$4:$5</definedName>
    <definedName name="_xlnm.Print_Titles" localSheetId="32">'ช่อมDLTV 24 รร'!$5:$6</definedName>
    <definedName name="_xlnm.Print_Titles" localSheetId="14">ธุรการ33045และ33062!$4:$5</definedName>
    <definedName name="_xlnm.Print_Titles" localSheetId="15">'ธุรการ9,000ครั้งสุดท้าย'!$4:$5</definedName>
    <definedName name="_xlnm.Print_Titles" localSheetId="18">นักการSp2สังคม!$4:$5</definedName>
    <definedName name="_xlnm.Print_Titles" localSheetId="26">บ้านนักวิทย์68รร.!$4:$5</definedName>
    <definedName name="_xlnm.Print_Titles" localSheetId="25">'บ้านวิทย์ 12 รร'!$5:$6</definedName>
    <definedName name="_xlnm.Print_Titles" localSheetId="29">ประกันแลกเป้า!$5:$6</definedName>
    <definedName name="_xlnm.Print_Titles" localSheetId="23">'ประกันสังคม (2)'!$5:$6</definedName>
    <definedName name="_xlnm.Print_Titles" localSheetId="12">พนง.ราชการ!$6:$7</definedName>
    <definedName name="_xlnm.Print_Titles" localSheetId="16">'ยาม.แม่บ้าน+จ้างนักการ39002'!$4:$5</definedName>
    <definedName name="_xlnm.Print_Titles" localSheetId="37">'รหัส 51041'!$5:$6</definedName>
    <definedName name="_xlnm.Print_Titles" localSheetId="28">รหัส32031..NT!$4:$5</definedName>
    <definedName name="_xlnm.Print_Titles" localSheetId="30">'รหัส32031.ปฐมวัย12รร (2)'!$5:$6</definedName>
    <definedName name="_xlnm.Print_Titles" localSheetId="34">'รหัส33061 (2)'!$4:$5</definedName>
    <definedName name="_xlnm.Print_Titles" localSheetId="35">'รหัส33061 ซื้อหนังสือ (2)'!$5:$6</definedName>
    <definedName name="_xlnm.Print_Titles" localSheetId="36">รหัส33062!$5:$6</definedName>
    <definedName name="_xlnm.Print_Titles" localSheetId="24">รหัส39001ก่อนฯ!$5:$6</definedName>
    <definedName name="_xlnm.Print_Titles" localSheetId="27">รหัส39002!$4:$5</definedName>
    <definedName name="_xlnm.Print_Titles" localSheetId="38">รหัส39007!$5:$6</definedName>
    <definedName name="_xlnm.Print_Titles" localSheetId="21">สมทบกองทุนลูกจ้าง!$4:$5</definedName>
    <definedName name="_xlnm.Print_Titles" localSheetId="49">อุดหนุนร.ร.!$4:$5</definedName>
  </definedNames>
  <calcPr calcId="144525"/>
</workbook>
</file>

<file path=xl/calcChain.xml><?xml version="1.0" encoding="utf-8"?>
<calcChain xmlns="http://schemas.openxmlformats.org/spreadsheetml/2006/main">
  <c r="C10" i="237" l="1"/>
  <c r="C14" i="237"/>
  <c r="C7" i="237"/>
  <c r="C33" i="237"/>
  <c r="G11" i="233"/>
  <c r="G12" i="233"/>
  <c r="G63" i="176" l="1"/>
  <c r="E55" i="176"/>
  <c r="G54" i="176"/>
  <c r="G55" i="176" s="1"/>
  <c r="G51" i="176"/>
  <c r="G52" i="176" l="1"/>
  <c r="E52" i="176"/>
  <c r="D12" i="1"/>
  <c r="F11" i="173"/>
  <c r="F23" i="236" l="1"/>
  <c r="F21" i="236"/>
  <c r="F19" i="236"/>
  <c r="F17" i="236"/>
  <c r="F15" i="236"/>
  <c r="K11" i="236"/>
  <c r="F30" i="236"/>
  <c r="E30" i="236"/>
  <c r="D30" i="236"/>
  <c r="G13" i="236"/>
  <c r="G11" i="236"/>
  <c r="G9" i="236"/>
  <c r="G7" i="236"/>
  <c r="F24" i="235"/>
  <c r="E24" i="235"/>
  <c r="D24" i="235"/>
  <c r="G7" i="235"/>
  <c r="G8" i="235" s="1"/>
  <c r="G9" i="235" s="1"/>
  <c r="E58" i="181"/>
  <c r="E52" i="181"/>
  <c r="G13" i="195"/>
  <c r="G14" i="195" s="1"/>
  <c r="E72" i="181"/>
  <c r="E23" i="229"/>
  <c r="F23" i="229"/>
  <c r="G12" i="229"/>
  <c r="G10" i="229"/>
  <c r="G15" i="229"/>
  <c r="G8" i="229"/>
  <c r="G59" i="178"/>
  <c r="G60" i="178" s="1"/>
  <c r="F16" i="234"/>
  <c r="E16" i="234"/>
  <c r="D16" i="234"/>
  <c r="G16" i="234" s="1"/>
  <c r="G11" i="234"/>
  <c r="G12" i="234" s="1"/>
  <c r="G13" i="234" s="1"/>
  <c r="G6" i="234"/>
  <c r="G7" i="234" s="1"/>
  <c r="G47" i="123"/>
  <c r="G48" i="123" s="1"/>
  <c r="G12" i="195"/>
  <c r="G11" i="195"/>
  <c r="F23" i="233"/>
  <c r="E23" i="233"/>
  <c r="D23" i="233"/>
  <c r="G8" i="233"/>
  <c r="G9" i="233" s="1"/>
  <c r="G10" i="233" s="1"/>
  <c r="G7" i="233"/>
  <c r="G30" i="236" l="1"/>
  <c r="G23" i="233"/>
  <c r="G24" i="235"/>
  <c r="G7" i="195"/>
  <c r="G8" i="195"/>
  <c r="G9" i="195" s="1"/>
  <c r="G10" i="195" s="1"/>
  <c r="E50" i="181"/>
  <c r="E59" i="181"/>
  <c r="E66" i="181"/>
  <c r="E53" i="181"/>
  <c r="E74" i="181"/>
  <c r="E68" i="181"/>
  <c r="E54" i="181"/>
  <c r="E75" i="181"/>
  <c r="E56" i="181"/>
  <c r="E44" i="181"/>
  <c r="E78" i="181"/>
  <c r="G20" i="232" l="1"/>
  <c r="F20" i="232"/>
  <c r="E20" i="232"/>
  <c r="D20" i="232"/>
  <c r="G8" i="232"/>
  <c r="E48" i="181"/>
  <c r="E73" i="181"/>
  <c r="E61" i="181"/>
  <c r="E64" i="181"/>
  <c r="E77" i="181"/>
  <c r="E46" i="181"/>
  <c r="E57" i="181"/>
  <c r="E62" i="181"/>
  <c r="E71" i="181"/>
  <c r="E63" i="181"/>
  <c r="E55" i="181"/>
  <c r="E49" i="181"/>
  <c r="E65" i="181"/>
  <c r="E69" i="181"/>
  <c r="E60" i="181"/>
  <c r="E67" i="181"/>
  <c r="E70" i="181"/>
  <c r="E76" i="181"/>
  <c r="E45" i="181"/>
  <c r="E51" i="181"/>
  <c r="E47" i="181"/>
  <c r="G15" i="231" l="1"/>
  <c r="G16" i="231" s="1"/>
  <c r="G17" i="231" s="1"/>
  <c r="G6" i="231"/>
  <c r="G7" i="231" s="1"/>
  <c r="G8" i="231" s="1"/>
  <c r="G34" i="123"/>
  <c r="G46" i="123"/>
  <c r="G41" i="189" l="1"/>
  <c r="G177" i="185"/>
  <c r="G22" i="185"/>
  <c r="F22" i="231"/>
  <c r="E22" i="231"/>
  <c r="D22" i="231"/>
  <c r="G11" i="231"/>
  <c r="G12" i="231" s="1"/>
  <c r="G13" i="231" s="1"/>
  <c r="G14" i="231" s="1"/>
  <c r="G22" i="231" l="1"/>
  <c r="E40" i="181"/>
  <c r="G69" i="184"/>
  <c r="G87" i="184"/>
  <c r="G88" i="184" s="1"/>
  <c r="G89" i="184" s="1"/>
  <c r="G180" i="185"/>
  <c r="G179" i="185"/>
  <c r="J180" i="185"/>
  <c r="G15" i="230" l="1"/>
  <c r="G14" i="230"/>
  <c r="G13" i="230"/>
  <c r="F23" i="230"/>
  <c r="E23" i="230"/>
  <c r="D23" i="230"/>
  <c r="G20" i="230"/>
  <c r="G19" i="230"/>
  <c r="G17" i="230"/>
  <c r="G16" i="230"/>
  <c r="G12" i="230"/>
  <c r="G11" i="230"/>
  <c r="G10" i="230"/>
  <c r="G9" i="230"/>
  <c r="G8" i="230"/>
  <c r="G7" i="230"/>
  <c r="E17" i="181"/>
  <c r="G20" i="192"/>
  <c r="G23" i="230" l="1"/>
  <c r="K143" i="185" l="1"/>
  <c r="K142" i="185"/>
  <c r="G174" i="185" l="1"/>
  <c r="G171" i="185"/>
  <c r="G176" i="185"/>
  <c r="G130" i="185"/>
  <c r="L164" i="185" l="1"/>
  <c r="G172" i="185"/>
  <c r="G173" i="185" s="1"/>
  <c r="L182" i="185"/>
  <c r="G24" i="192" l="1"/>
  <c r="G19" i="192"/>
  <c r="G14" i="192"/>
  <c r="G10" i="192"/>
  <c r="G18" i="192" l="1"/>
  <c r="G64" i="175" l="1"/>
  <c r="J161" i="185" l="1"/>
  <c r="G57" i="178" l="1"/>
  <c r="G58" i="178" s="1"/>
  <c r="G9" i="183"/>
  <c r="G24" i="127"/>
  <c r="D23" i="229" l="1"/>
  <c r="G23" i="229" l="1"/>
  <c r="G17" i="191"/>
  <c r="G168" i="185"/>
  <c r="G169" i="185" s="1"/>
  <c r="G22" i="210"/>
  <c r="G18" i="210"/>
  <c r="G200" i="194"/>
  <c r="E196" i="194"/>
  <c r="G27" i="187"/>
  <c r="G94" i="175"/>
  <c r="G65" i="175"/>
  <c r="G80" i="184"/>
  <c r="G73" i="184"/>
  <c r="G62" i="184"/>
  <c r="G17" i="192"/>
  <c r="G9" i="192"/>
  <c r="G11" i="210"/>
  <c r="G14" i="210"/>
  <c r="G13" i="192"/>
  <c r="G23" i="192"/>
  <c r="F23" i="218"/>
  <c r="E23" i="218"/>
  <c r="D23" i="218"/>
  <c r="G23" i="218" s="1"/>
  <c r="G19" i="218"/>
  <c r="G18" i="218"/>
  <c r="G17" i="218"/>
  <c r="G16" i="218"/>
  <c r="G15" i="218"/>
  <c r="G14" i="218"/>
  <c r="G13" i="218"/>
  <c r="G12" i="218"/>
  <c r="G11" i="218"/>
  <c r="G10" i="218"/>
  <c r="G9" i="218"/>
  <c r="G8" i="218"/>
  <c r="G95" i="175" l="1"/>
  <c r="G85" i="175"/>
  <c r="G86" i="175" s="1"/>
  <c r="G29" i="186"/>
  <c r="G107" i="175"/>
  <c r="G103" i="175"/>
  <c r="G98" i="175"/>
  <c r="G99" i="175" s="1"/>
  <c r="G100" i="175" l="1"/>
  <c r="G87" i="175"/>
  <c r="G108" i="175"/>
  <c r="G104" i="175"/>
  <c r="G8" i="217"/>
  <c r="G9" i="217"/>
  <c r="G10" i="217"/>
  <c r="G11" i="217"/>
  <c r="G12" i="217"/>
  <c r="G13" i="217"/>
  <c r="G14" i="217"/>
  <c r="G15" i="217"/>
  <c r="G16" i="217"/>
  <c r="G17" i="217"/>
  <c r="G18" i="217"/>
  <c r="G19" i="217"/>
  <c r="G20" i="217"/>
  <c r="G21" i="217"/>
  <c r="G22" i="217"/>
  <c r="G23" i="217"/>
  <c r="G24" i="217"/>
  <c r="G25" i="217"/>
  <c r="G26" i="217"/>
  <c r="G7" i="217"/>
  <c r="F29" i="217"/>
  <c r="E29" i="217"/>
  <c r="D29" i="217"/>
  <c r="G29" i="217" l="1"/>
  <c r="F217" i="216"/>
  <c r="D217" i="216"/>
  <c r="E212" i="216"/>
  <c r="G212" i="216" s="1"/>
  <c r="E211" i="216"/>
  <c r="G211" i="216" s="1"/>
  <c r="E210" i="216"/>
  <c r="G210" i="216" s="1"/>
  <c r="E209" i="216"/>
  <c r="G209" i="216" s="1"/>
  <c r="E208" i="216"/>
  <c r="G208" i="216" s="1"/>
  <c r="E207" i="216"/>
  <c r="G207" i="216" s="1"/>
  <c r="E206" i="216"/>
  <c r="G206" i="216" s="1"/>
  <c r="E205" i="216"/>
  <c r="G205" i="216" s="1"/>
  <c r="G204" i="216"/>
  <c r="E203" i="216"/>
  <c r="G203" i="216" s="1"/>
  <c r="G202" i="216"/>
  <c r="E201" i="216"/>
  <c r="G201" i="216" s="1"/>
  <c r="E200" i="216"/>
  <c r="G200" i="216" s="1"/>
  <c r="E199" i="216"/>
  <c r="G199" i="216" s="1"/>
  <c r="G198" i="216"/>
  <c r="E197" i="216"/>
  <c r="G197" i="216" s="1"/>
  <c r="E196" i="216"/>
  <c r="G196" i="216" s="1"/>
  <c r="E195" i="216"/>
  <c r="G195" i="216" s="1"/>
  <c r="E194" i="216"/>
  <c r="G194" i="216" s="1"/>
  <c r="E193" i="216"/>
  <c r="G193" i="216" s="1"/>
  <c r="E192" i="216"/>
  <c r="G192" i="216" s="1"/>
  <c r="E191" i="216"/>
  <c r="G191" i="216" s="1"/>
  <c r="G190" i="216"/>
  <c r="E189" i="216"/>
  <c r="G189" i="216" s="1"/>
  <c r="E188" i="216"/>
  <c r="G188" i="216" s="1"/>
  <c r="G187" i="216"/>
  <c r="E186" i="216"/>
  <c r="G186" i="216" s="1"/>
  <c r="E185" i="216"/>
  <c r="G185" i="216" s="1"/>
  <c r="E184" i="216"/>
  <c r="G184" i="216" s="1"/>
  <c r="E183" i="216"/>
  <c r="G183" i="216" s="1"/>
  <c r="E182" i="216"/>
  <c r="G182" i="216" s="1"/>
  <c r="E181" i="216"/>
  <c r="G181" i="216" s="1"/>
  <c r="E180" i="216"/>
  <c r="G180" i="216" s="1"/>
  <c r="E179" i="216"/>
  <c r="G179" i="216" s="1"/>
  <c r="E178" i="216"/>
  <c r="G178" i="216" s="1"/>
  <c r="E177" i="216"/>
  <c r="G177" i="216" s="1"/>
  <c r="E176" i="216"/>
  <c r="G176" i="216" s="1"/>
  <c r="E175" i="216"/>
  <c r="G175" i="216" s="1"/>
  <c r="G174" i="216"/>
  <c r="E174" i="216"/>
  <c r="E173" i="216"/>
  <c r="G173" i="216" s="1"/>
  <c r="E172" i="216"/>
  <c r="G172" i="216" s="1"/>
  <c r="E171" i="216"/>
  <c r="G171" i="216" s="1"/>
  <c r="E170" i="216"/>
  <c r="G170" i="216" s="1"/>
  <c r="E169" i="216"/>
  <c r="G169" i="216" s="1"/>
  <c r="E168" i="216"/>
  <c r="G168" i="216" s="1"/>
  <c r="E167" i="216"/>
  <c r="G167" i="216" s="1"/>
  <c r="E166" i="216"/>
  <c r="G166" i="216" s="1"/>
  <c r="E165" i="216"/>
  <c r="G165" i="216" s="1"/>
  <c r="E164" i="216"/>
  <c r="G164" i="216" s="1"/>
  <c r="E163" i="216"/>
  <c r="G163" i="216" s="1"/>
  <c r="E162" i="216"/>
  <c r="G162" i="216" s="1"/>
  <c r="E161" i="216"/>
  <c r="G161" i="216" s="1"/>
  <c r="E160" i="216"/>
  <c r="G160" i="216" s="1"/>
  <c r="E159" i="216"/>
  <c r="G159" i="216" s="1"/>
  <c r="E158" i="216"/>
  <c r="G158" i="216" s="1"/>
  <c r="E157" i="216"/>
  <c r="G157" i="216" s="1"/>
  <c r="E156" i="216"/>
  <c r="G156" i="216" s="1"/>
  <c r="E155" i="216"/>
  <c r="G155" i="216" s="1"/>
  <c r="E154" i="216"/>
  <c r="G154" i="216" s="1"/>
  <c r="E153" i="216"/>
  <c r="G153" i="216" s="1"/>
  <c r="E152" i="216"/>
  <c r="G152" i="216" s="1"/>
  <c r="E151" i="216"/>
  <c r="G151" i="216" s="1"/>
  <c r="E150" i="216"/>
  <c r="G150" i="216" s="1"/>
  <c r="E149" i="216"/>
  <c r="G149" i="216" s="1"/>
  <c r="E148" i="216"/>
  <c r="G148" i="216" s="1"/>
  <c r="E147" i="216"/>
  <c r="G147" i="216" s="1"/>
  <c r="E146" i="216"/>
  <c r="G146" i="216" s="1"/>
  <c r="E145" i="216"/>
  <c r="G145" i="216" s="1"/>
  <c r="E144" i="216"/>
  <c r="G144" i="216" s="1"/>
  <c r="E143" i="216"/>
  <c r="G143" i="216" s="1"/>
  <c r="G142" i="216"/>
  <c r="E142" i="216"/>
  <c r="E141" i="216"/>
  <c r="G141" i="216" s="1"/>
  <c r="E140" i="216"/>
  <c r="G140" i="216" s="1"/>
  <c r="E139" i="216"/>
  <c r="G139" i="216" s="1"/>
  <c r="E138" i="216"/>
  <c r="G138" i="216" s="1"/>
  <c r="E137" i="216"/>
  <c r="G137" i="216" s="1"/>
  <c r="E136" i="216"/>
  <c r="G136" i="216" s="1"/>
  <c r="E135" i="216"/>
  <c r="G135" i="216" s="1"/>
  <c r="E134" i="216"/>
  <c r="G134" i="216" s="1"/>
  <c r="E133" i="216"/>
  <c r="G133" i="216" s="1"/>
  <c r="E132" i="216"/>
  <c r="G132" i="216" s="1"/>
  <c r="E131" i="216"/>
  <c r="G131" i="216" s="1"/>
  <c r="E130" i="216"/>
  <c r="G130" i="216" s="1"/>
  <c r="E129" i="216"/>
  <c r="G129" i="216" s="1"/>
  <c r="G128" i="216"/>
  <c r="E127" i="216"/>
  <c r="G127" i="216" s="1"/>
  <c r="E126" i="216"/>
  <c r="G126" i="216" s="1"/>
  <c r="G125" i="216"/>
  <c r="E124" i="216"/>
  <c r="G124" i="216" s="1"/>
  <c r="E123" i="216"/>
  <c r="G123" i="216" s="1"/>
  <c r="E122" i="216"/>
  <c r="G122" i="216" s="1"/>
  <c r="E121" i="216"/>
  <c r="G121" i="216" s="1"/>
  <c r="G120" i="216"/>
  <c r="E119" i="216"/>
  <c r="G119" i="216" s="1"/>
  <c r="E118" i="216"/>
  <c r="G118" i="216" s="1"/>
  <c r="E117" i="216"/>
  <c r="G117" i="216" s="1"/>
  <c r="G116" i="216"/>
  <c r="E115" i="216"/>
  <c r="G115" i="216" s="1"/>
  <c r="E114" i="216"/>
  <c r="G114" i="216" s="1"/>
  <c r="E113" i="216"/>
  <c r="G113" i="216" s="1"/>
  <c r="G112" i="216"/>
  <c r="E112" i="216"/>
  <c r="E111" i="216"/>
  <c r="G111" i="216" s="1"/>
  <c r="E110" i="216"/>
  <c r="G110" i="216" s="1"/>
  <c r="E109" i="216"/>
  <c r="G109" i="216" s="1"/>
  <c r="E108" i="216"/>
  <c r="G108" i="216" s="1"/>
  <c r="E107" i="216"/>
  <c r="G107" i="216" s="1"/>
  <c r="E106" i="216"/>
  <c r="G106" i="216" s="1"/>
  <c r="E105" i="216"/>
  <c r="G105" i="216" s="1"/>
  <c r="G104" i="216"/>
  <c r="G103" i="216"/>
  <c r="G102" i="216"/>
  <c r="E101" i="216"/>
  <c r="G101" i="216" s="1"/>
  <c r="E100" i="216"/>
  <c r="G100" i="216" s="1"/>
  <c r="E99" i="216"/>
  <c r="G99" i="216" s="1"/>
  <c r="E98" i="216"/>
  <c r="G98" i="216" s="1"/>
  <c r="E97" i="216"/>
  <c r="G97" i="216" s="1"/>
  <c r="E96" i="216"/>
  <c r="G96" i="216" s="1"/>
  <c r="E95" i="216"/>
  <c r="G95" i="216" s="1"/>
  <c r="E94" i="216"/>
  <c r="G94" i="216" s="1"/>
  <c r="E93" i="216"/>
  <c r="G93" i="216" s="1"/>
  <c r="E92" i="216"/>
  <c r="G92" i="216" s="1"/>
  <c r="E91" i="216"/>
  <c r="G91" i="216" s="1"/>
  <c r="E90" i="216"/>
  <c r="G90" i="216" s="1"/>
  <c r="E89" i="216"/>
  <c r="G89" i="216" s="1"/>
  <c r="E88" i="216"/>
  <c r="G88" i="216" s="1"/>
  <c r="G87" i="216"/>
  <c r="E86" i="216"/>
  <c r="G86" i="216" s="1"/>
  <c r="E85" i="216"/>
  <c r="G85" i="216" s="1"/>
  <c r="E84" i="216"/>
  <c r="G84" i="216" s="1"/>
  <c r="E83" i="216"/>
  <c r="G83" i="216" s="1"/>
  <c r="E82" i="216"/>
  <c r="G82" i="216" s="1"/>
  <c r="E81" i="216"/>
  <c r="G81" i="216" s="1"/>
  <c r="E80" i="216"/>
  <c r="G80" i="216" s="1"/>
  <c r="E79" i="216"/>
  <c r="G79" i="216" s="1"/>
  <c r="E78" i="216"/>
  <c r="G78" i="216" s="1"/>
  <c r="E77" i="216"/>
  <c r="G77" i="216" s="1"/>
  <c r="E76" i="216"/>
  <c r="G76" i="216" s="1"/>
  <c r="E75" i="216"/>
  <c r="G75" i="216" s="1"/>
  <c r="G74" i="216"/>
  <c r="E74" i="216"/>
  <c r="E73" i="216"/>
  <c r="G73" i="216" s="1"/>
  <c r="E72" i="216"/>
  <c r="G72" i="216" s="1"/>
  <c r="E71" i="216"/>
  <c r="G71" i="216" s="1"/>
  <c r="E70" i="216"/>
  <c r="G70" i="216" s="1"/>
  <c r="E69" i="216"/>
  <c r="G69" i="216" s="1"/>
  <c r="E68" i="216"/>
  <c r="G68" i="216" s="1"/>
  <c r="E67" i="216"/>
  <c r="G67" i="216" s="1"/>
  <c r="E66" i="216"/>
  <c r="G66" i="216" s="1"/>
  <c r="E65" i="216"/>
  <c r="G65" i="216" s="1"/>
  <c r="E64" i="216"/>
  <c r="G64" i="216" s="1"/>
  <c r="G63" i="216"/>
  <c r="E62" i="216"/>
  <c r="G62" i="216" s="1"/>
  <c r="E61" i="216"/>
  <c r="G61" i="216" s="1"/>
  <c r="E60" i="216"/>
  <c r="G60" i="216" s="1"/>
  <c r="E59" i="216"/>
  <c r="G59" i="216" s="1"/>
  <c r="E58" i="216"/>
  <c r="G58" i="216" s="1"/>
  <c r="E57" i="216"/>
  <c r="G57" i="216" s="1"/>
  <c r="E56" i="216"/>
  <c r="G56" i="216" s="1"/>
  <c r="E55" i="216"/>
  <c r="G55" i="216" s="1"/>
  <c r="E54" i="216"/>
  <c r="G54" i="216" s="1"/>
  <c r="E53" i="216"/>
  <c r="G53" i="216" s="1"/>
  <c r="E52" i="216"/>
  <c r="G52" i="216" s="1"/>
  <c r="E51" i="216"/>
  <c r="G51" i="216" s="1"/>
  <c r="E50" i="216"/>
  <c r="G50" i="216" s="1"/>
  <c r="E49" i="216"/>
  <c r="G49" i="216" s="1"/>
  <c r="E48" i="216"/>
  <c r="G48" i="216" s="1"/>
  <c r="E47" i="216"/>
  <c r="G47" i="216" s="1"/>
  <c r="E46" i="216"/>
  <c r="G46" i="216" s="1"/>
  <c r="E45" i="216"/>
  <c r="G45" i="216" s="1"/>
  <c r="E44" i="216"/>
  <c r="G44" i="216" s="1"/>
  <c r="E43" i="216"/>
  <c r="G43" i="216" s="1"/>
  <c r="E42" i="216"/>
  <c r="G42" i="216" s="1"/>
  <c r="E41" i="216"/>
  <c r="G41" i="216" s="1"/>
  <c r="E40" i="216"/>
  <c r="G40" i="216" s="1"/>
  <c r="E39" i="216"/>
  <c r="G39" i="216" s="1"/>
  <c r="E38" i="216"/>
  <c r="G38" i="216" s="1"/>
  <c r="G37" i="216"/>
  <c r="E36" i="216"/>
  <c r="G36" i="216" s="1"/>
  <c r="E35" i="216"/>
  <c r="G35" i="216" s="1"/>
  <c r="E34" i="216"/>
  <c r="G34" i="216" s="1"/>
  <c r="E33" i="216"/>
  <c r="G33" i="216" s="1"/>
  <c r="E32" i="216"/>
  <c r="G32" i="216" s="1"/>
  <c r="E31" i="216"/>
  <c r="G31" i="216" s="1"/>
  <c r="E30" i="216"/>
  <c r="G30" i="216" s="1"/>
  <c r="E29" i="216"/>
  <c r="G29" i="216" s="1"/>
  <c r="E28" i="216"/>
  <c r="G28" i="216" s="1"/>
  <c r="E27" i="216"/>
  <c r="G27" i="216" s="1"/>
  <c r="E26" i="216"/>
  <c r="G26" i="216" s="1"/>
  <c r="G25" i="216"/>
  <c r="E25" i="216"/>
  <c r="G24" i="216"/>
  <c r="G23" i="216"/>
  <c r="G22" i="216"/>
  <c r="E22" i="216"/>
  <c r="E21" i="216"/>
  <c r="E20" i="216"/>
  <c r="G20" i="216" s="1"/>
  <c r="G6" i="216"/>
  <c r="F218" i="182"/>
  <c r="E217" i="216" l="1"/>
  <c r="G217" i="216" s="1"/>
  <c r="G21" i="216"/>
  <c r="E219" i="216"/>
  <c r="E62" i="193"/>
  <c r="E63" i="193"/>
  <c r="D13" i="185" l="1"/>
  <c r="J11" i="185"/>
  <c r="A186" i="185"/>
  <c r="J183" i="185"/>
  <c r="G148" i="185"/>
  <c r="G114" i="185"/>
  <c r="G64" i="185"/>
  <c r="F11" i="1" l="1"/>
  <c r="F10" i="1"/>
  <c r="F10" i="173"/>
  <c r="G12" i="127"/>
  <c r="G83" i="184"/>
  <c r="G23" i="187"/>
  <c r="G68" i="175"/>
  <c r="G69" i="175" s="1"/>
  <c r="G24" i="187" l="1"/>
  <c r="G13" i="127"/>
  <c r="G84" i="184"/>
  <c r="G70" i="175"/>
  <c r="G70" i="184" l="1"/>
  <c r="G25" i="186"/>
  <c r="G26" i="186" s="1"/>
  <c r="G34" i="187"/>
  <c r="G35" i="187" s="1"/>
  <c r="F22" i="200"/>
  <c r="E22" i="200"/>
  <c r="G75" i="177"/>
  <c r="G76" i="177" s="1"/>
  <c r="G77" i="177" s="1"/>
  <c r="G79" i="177"/>
  <c r="G36" i="187" l="1"/>
  <c r="E191" i="194" l="1"/>
  <c r="E212" i="182"/>
  <c r="E208" i="182"/>
  <c r="E207" i="182"/>
  <c r="E203" i="182"/>
  <c r="E201" i="182"/>
  <c r="E200" i="182"/>
  <c r="E196" i="182"/>
  <c r="E195" i="182"/>
  <c r="E193" i="182"/>
  <c r="E192" i="182"/>
  <c r="E191" i="182"/>
  <c r="E189" i="182"/>
  <c r="E188" i="182"/>
  <c r="E185" i="182"/>
  <c r="E182" i="182"/>
  <c r="E180" i="182"/>
  <c r="E179" i="182"/>
  <c r="E177" i="182"/>
  <c r="E174" i="182"/>
  <c r="E173" i="182"/>
  <c r="E172" i="182"/>
  <c r="E171" i="182"/>
  <c r="E168" i="182"/>
  <c r="E165" i="182"/>
  <c r="E164" i="182"/>
  <c r="E163" i="182"/>
  <c r="E162" i="182"/>
  <c r="E161" i="182"/>
  <c r="E159" i="182"/>
  <c r="E156" i="182"/>
  <c r="E155" i="182"/>
  <c r="E151" i="182"/>
  <c r="E149" i="182"/>
  <c r="E148" i="182"/>
  <c r="E147" i="182"/>
  <c r="E139" i="182"/>
  <c r="E137" i="182"/>
  <c r="E136" i="182"/>
  <c r="E134" i="182"/>
  <c r="E133" i="182"/>
  <c r="E132" i="182"/>
  <c r="E131" i="182"/>
  <c r="E130" i="182"/>
  <c r="E129" i="182"/>
  <c r="E127" i="182"/>
  <c r="E126" i="182"/>
  <c r="E124" i="182"/>
  <c r="E123" i="182"/>
  <c r="E118" i="182"/>
  <c r="E117" i="182"/>
  <c r="E110" i="182"/>
  <c r="E108" i="182"/>
  <c r="E107" i="182"/>
  <c r="E106" i="182"/>
  <c r="E105" i="182"/>
  <c r="E101" i="182"/>
  <c r="E98" i="182"/>
  <c r="E96" i="182"/>
  <c r="E95" i="182"/>
  <c r="E94" i="182"/>
  <c r="E86" i="182"/>
  <c r="E84" i="182"/>
  <c r="E83" i="182"/>
  <c r="E78" i="182"/>
  <c r="E77" i="182"/>
  <c r="E76" i="182"/>
  <c r="E75" i="182"/>
  <c r="E74" i="182"/>
  <c r="E73" i="182"/>
  <c r="E68" i="182"/>
  <c r="E65" i="182"/>
  <c r="E64" i="182"/>
  <c r="E62" i="182"/>
  <c r="E59" i="182"/>
  <c r="E57" i="182"/>
  <c r="E56" i="182"/>
  <c r="E54" i="182"/>
  <c r="E51" i="182"/>
  <c r="E50" i="182"/>
  <c r="E49" i="182"/>
  <c r="E47" i="182"/>
  <c r="E45" i="182"/>
  <c r="E42" i="182"/>
  <c r="E40" i="182"/>
  <c r="E38" i="182"/>
  <c r="E31" i="182"/>
  <c r="E30" i="182"/>
  <c r="E22" i="182"/>
  <c r="E20" i="182"/>
  <c r="N190" i="185" l="1"/>
  <c r="G8" i="190"/>
  <c r="G9" i="190" s="1"/>
  <c r="G10" i="190" s="1"/>
  <c r="G11" i="190" s="1"/>
  <c r="G44" i="123" l="1"/>
  <c r="G43" i="123"/>
  <c r="G9" i="214"/>
  <c r="G10" i="214"/>
  <c r="G11" i="214"/>
  <c r="G12" i="214"/>
  <c r="G8" i="214"/>
  <c r="F396" i="178"/>
  <c r="G21" i="210"/>
  <c r="G28" i="215"/>
  <c r="G29" i="215"/>
  <c r="G30" i="215"/>
  <c r="G31" i="215"/>
  <c r="G27" i="215"/>
  <c r="G26" i="215"/>
  <c r="G25" i="215"/>
  <c r="G24" i="215"/>
  <c r="G23" i="215"/>
  <c r="G22" i="215"/>
  <c r="G21" i="215"/>
  <c r="G20" i="215"/>
  <c r="G19" i="215"/>
  <c r="G18" i="215"/>
  <c r="G17" i="215"/>
  <c r="G16" i="215"/>
  <c r="G15" i="215"/>
  <c r="G14" i="215"/>
  <c r="G13" i="215"/>
  <c r="G154" i="185" l="1"/>
  <c r="G155" i="185" s="1"/>
  <c r="G156" i="185" s="1"/>
  <c r="G157" i="185" s="1"/>
  <c r="G158" i="185" s="1"/>
  <c r="G159" i="185" s="1"/>
  <c r="G160" i="185" s="1"/>
  <c r="G161" i="185" s="1"/>
  <c r="G162" i="185" s="1"/>
  <c r="G163" i="185" s="1"/>
  <c r="G164" i="185" s="1"/>
  <c r="G9" i="212"/>
  <c r="G10" i="212"/>
  <c r="G11" i="212"/>
  <c r="G12" i="212"/>
  <c r="G13" i="212"/>
  <c r="G14" i="212"/>
  <c r="G15" i="212"/>
  <c r="G16" i="212"/>
  <c r="G17" i="212"/>
  <c r="G18" i="212"/>
  <c r="G19" i="212"/>
  <c r="G8" i="212"/>
  <c r="E21" i="181"/>
  <c r="G39" i="187"/>
  <c r="G40" i="187" s="1"/>
  <c r="G41" i="187" s="1"/>
  <c r="G9" i="215"/>
  <c r="G10" i="215"/>
  <c r="G11" i="215"/>
  <c r="G12" i="215"/>
  <c r="G8" i="215"/>
  <c r="F34" i="215"/>
  <c r="E34" i="215"/>
  <c r="D34" i="215"/>
  <c r="G7" i="215"/>
  <c r="F26" i="214"/>
  <c r="G26" i="214" s="1"/>
  <c r="E26" i="214"/>
  <c r="D26" i="214"/>
  <c r="G13" i="214"/>
  <c r="G7" i="214"/>
  <c r="G20" i="206"/>
  <c r="G21" i="206"/>
  <c r="G22" i="206"/>
  <c r="G23" i="206"/>
  <c r="G24" i="206"/>
  <c r="G25" i="206"/>
  <c r="G26" i="206"/>
  <c r="G28" i="206"/>
  <c r="G8" i="206"/>
  <c r="G9" i="206"/>
  <c r="G10" i="206"/>
  <c r="G11" i="206"/>
  <c r="G12" i="206"/>
  <c r="G13" i="206"/>
  <c r="G14" i="206"/>
  <c r="G15" i="206"/>
  <c r="G16" i="206"/>
  <c r="G17" i="206"/>
  <c r="G18" i="206"/>
  <c r="G19" i="206"/>
  <c r="G7" i="206"/>
  <c r="F23" i="212"/>
  <c r="E23" i="212"/>
  <c r="D23" i="212"/>
  <c r="G34" i="215" l="1"/>
  <c r="G23" i="212"/>
  <c r="L47" i="18"/>
  <c r="L40" i="18"/>
  <c r="I47" i="18"/>
  <c r="I29" i="211" l="1"/>
  <c r="G8" i="211"/>
  <c r="G9" i="211" s="1"/>
  <c r="G10" i="211" s="1"/>
  <c r="G11" i="211" s="1"/>
  <c r="K40" i="211"/>
  <c r="G32" i="211"/>
  <c r="F26" i="211"/>
  <c r="E26" i="211"/>
  <c r="D26" i="211"/>
  <c r="I41" i="18"/>
  <c r="G26" i="211" l="1"/>
  <c r="J54" i="114"/>
  <c r="J50" i="114"/>
  <c r="G89" i="175" l="1"/>
  <c r="G90" i="175" s="1"/>
  <c r="G91" i="175" s="1"/>
  <c r="G36" i="184"/>
  <c r="G37" i="184" s="1"/>
  <c r="G47" i="184"/>
  <c r="G48" i="184"/>
  <c r="G49" i="184"/>
  <c r="G50" i="184"/>
  <c r="G46" i="184"/>
  <c r="D39" i="184"/>
  <c r="G151" i="185"/>
  <c r="G32" i="123"/>
  <c r="G33" i="123" s="1"/>
  <c r="G17" i="123"/>
  <c r="G18" i="123" s="1"/>
  <c r="G54" i="184" l="1"/>
  <c r="G55" i="184" s="1"/>
  <c r="D15" i="127"/>
  <c r="F24" i="210" l="1"/>
  <c r="E24" i="210"/>
  <c r="D24" i="210"/>
  <c r="G24" i="210" l="1"/>
  <c r="G31" i="123"/>
  <c r="G16" i="123"/>
  <c r="G77" i="175"/>
  <c r="G73" i="175"/>
  <c r="G76" i="184"/>
  <c r="G77" i="184" s="1"/>
  <c r="E33" i="181"/>
  <c r="G22" i="180"/>
  <c r="G23" i="180" s="1"/>
  <c r="G30" i="187"/>
  <c r="G31" i="187" s="1"/>
  <c r="G67" i="177"/>
  <c r="G68" i="177" s="1"/>
  <c r="G69" i="177" s="1"/>
  <c r="G70" i="177" s="1"/>
  <c r="D65" i="176"/>
  <c r="E49" i="176"/>
  <c r="G49" i="176" s="1"/>
  <c r="E47" i="176"/>
  <c r="G47" i="176" s="1"/>
  <c r="E45" i="176"/>
  <c r="G45" i="176" s="1"/>
  <c r="E43" i="176"/>
  <c r="G43" i="176" s="1"/>
  <c r="E41" i="176"/>
  <c r="G41" i="176" s="1"/>
  <c r="G71" i="177" l="1"/>
  <c r="G74" i="175"/>
  <c r="F31" i="206" l="1"/>
  <c r="E31" i="206"/>
  <c r="D31" i="206"/>
  <c r="G80" i="175"/>
  <c r="G81" i="175" s="1"/>
  <c r="G9" i="194"/>
  <c r="G10" i="194"/>
  <c r="G11" i="194"/>
  <c r="G12" i="194"/>
  <c r="G13" i="194"/>
  <c r="G14" i="194"/>
  <c r="G15" i="194"/>
  <c r="G16" i="194"/>
  <c r="G17" i="194"/>
  <c r="G18" i="194"/>
  <c r="G19" i="194"/>
  <c r="G20" i="194"/>
  <c r="G21" i="194"/>
  <c r="G22" i="194"/>
  <c r="G23" i="194"/>
  <c r="G24" i="194"/>
  <c r="G25" i="194"/>
  <c r="G26" i="194"/>
  <c r="G27" i="194"/>
  <c r="G28" i="194"/>
  <c r="G29" i="194"/>
  <c r="G30" i="194"/>
  <c r="G31" i="194"/>
  <c r="G32" i="194"/>
  <c r="G33" i="194"/>
  <c r="G34" i="194"/>
  <c r="G35" i="194"/>
  <c r="G36" i="194"/>
  <c r="G37" i="194"/>
  <c r="G38" i="194"/>
  <c r="G39" i="194"/>
  <c r="G40" i="194"/>
  <c r="G41" i="194"/>
  <c r="G42" i="194"/>
  <c r="G43" i="194"/>
  <c r="G44" i="194"/>
  <c r="G45" i="194"/>
  <c r="G46" i="194"/>
  <c r="G47" i="194"/>
  <c r="G48" i="194"/>
  <c r="G49" i="194"/>
  <c r="G50" i="194"/>
  <c r="G51" i="194"/>
  <c r="G52" i="194"/>
  <c r="G53" i="194"/>
  <c r="G54" i="194"/>
  <c r="G55" i="194"/>
  <c r="G56" i="194"/>
  <c r="G57" i="194"/>
  <c r="G58" i="194"/>
  <c r="G59" i="194"/>
  <c r="G60" i="194"/>
  <c r="G61" i="194"/>
  <c r="G62" i="194"/>
  <c r="G63" i="194"/>
  <c r="G64" i="194"/>
  <c r="G65" i="194"/>
  <c r="G66" i="194"/>
  <c r="G67" i="194"/>
  <c r="G68" i="194"/>
  <c r="G69" i="194"/>
  <c r="G70" i="194"/>
  <c r="G71" i="194"/>
  <c r="G72" i="194"/>
  <c r="G73" i="194"/>
  <c r="G74" i="194"/>
  <c r="G75" i="194"/>
  <c r="G76" i="194"/>
  <c r="G77" i="194"/>
  <c r="G78" i="194"/>
  <c r="G79" i="194"/>
  <c r="G80" i="194"/>
  <c r="G81" i="194"/>
  <c r="G82" i="194"/>
  <c r="G83" i="194"/>
  <c r="G84" i="194"/>
  <c r="G85" i="194"/>
  <c r="G86" i="194"/>
  <c r="G87" i="194"/>
  <c r="G88" i="194"/>
  <c r="G89" i="194"/>
  <c r="G90" i="194"/>
  <c r="G91" i="194"/>
  <c r="G92" i="194"/>
  <c r="G93" i="194"/>
  <c r="G94" i="194"/>
  <c r="G95" i="194"/>
  <c r="G96" i="194"/>
  <c r="G97" i="194"/>
  <c r="G98" i="194"/>
  <c r="G99" i="194"/>
  <c r="G100" i="194"/>
  <c r="G101" i="194"/>
  <c r="G102" i="194"/>
  <c r="G103" i="194"/>
  <c r="G104" i="194"/>
  <c r="G105" i="194"/>
  <c r="G106" i="194"/>
  <c r="G107" i="194"/>
  <c r="G108" i="194"/>
  <c r="G109" i="194"/>
  <c r="G110" i="194"/>
  <c r="G111" i="194"/>
  <c r="G112" i="194"/>
  <c r="G113" i="194"/>
  <c r="G114" i="194"/>
  <c r="G115" i="194"/>
  <c r="G116" i="194"/>
  <c r="G117" i="194"/>
  <c r="G118" i="194"/>
  <c r="G119" i="194"/>
  <c r="G120" i="194"/>
  <c r="G121" i="194"/>
  <c r="G122" i="194"/>
  <c r="G123" i="194"/>
  <c r="G124" i="194"/>
  <c r="G125" i="194"/>
  <c r="G126" i="194"/>
  <c r="G127" i="194"/>
  <c r="G128" i="194"/>
  <c r="G129" i="194"/>
  <c r="G130" i="194"/>
  <c r="G131" i="194"/>
  <c r="G132" i="194"/>
  <c r="G133" i="194"/>
  <c r="G134" i="194"/>
  <c r="G135" i="194"/>
  <c r="G136" i="194"/>
  <c r="G137" i="194"/>
  <c r="G138" i="194"/>
  <c r="G139" i="194"/>
  <c r="G140" i="194"/>
  <c r="G141" i="194"/>
  <c r="G142" i="194"/>
  <c r="G143" i="194"/>
  <c r="G144" i="194"/>
  <c r="G145" i="194"/>
  <c r="G146" i="194"/>
  <c r="G147" i="194"/>
  <c r="G148" i="194"/>
  <c r="G149" i="194"/>
  <c r="G150" i="194"/>
  <c r="G151" i="194"/>
  <c r="G152" i="194"/>
  <c r="G153" i="194"/>
  <c r="G154" i="194"/>
  <c r="G155" i="194"/>
  <c r="G156" i="194"/>
  <c r="G157" i="194"/>
  <c r="G158" i="194"/>
  <c r="G159" i="194"/>
  <c r="G160" i="194"/>
  <c r="G161" i="194"/>
  <c r="G162" i="194"/>
  <c r="G163" i="194"/>
  <c r="G164" i="194"/>
  <c r="G165" i="194"/>
  <c r="G167" i="194"/>
  <c r="G168" i="194"/>
  <c r="G169" i="194"/>
  <c r="G170" i="194"/>
  <c r="G171" i="194"/>
  <c r="G172" i="194"/>
  <c r="G173" i="194"/>
  <c r="G174" i="194"/>
  <c r="G175" i="194"/>
  <c r="G176" i="194"/>
  <c r="G177" i="194"/>
  <c r="G178" i="194"/>
  <c r="G179" i="194"/>
  <c r="G180" i="194"/>
  <c r="G181" i="194"/>
  <c r="G182" i="194"/>
  <c r="G183" i="194"/>
  <c r="G184" i="194"/>
  <c r="G185" i="194"/>
  <c r="G186" i="194"/>
  <c r="G187" i="194"/>
  <c r="G188" i="194"/>
  <c r="G189" i="194"/>
  <c r="G190" i="194"/>
  <c r="G191" i="194"/>
  <c r="G192" i="194"/>
  <c r="G193" i="194"/>
  <c r="G194" i="194"/>
  <c r="G195" i="194"/>
  <c r="G196" i="194"/>
  <c r="G197" i="194"/>
  <c r="G198" i="194"/>
  <c r="G8" i="194"/>
  <c r="G82" i="175" l="1"/>
  <c r="G31" i="206"/>
  <c r="E166" i="194"/>
  <c r="G166" i="194" s="1"/>
  <c r="G33" i="181"/>
  <c r="D78" i="181"/>
  <c r="D77" i="181"/>
  <c r="D76" i="181"/>
  <c r="D75" i="181"/>
  <c r="G75" i="181" s="1"/>
  <c r="D74" i="181"/>
  <c r="D72" i="181"/>
  <c r="D71" i="181"/>
  <c r="G71" i="181" s="1"/>
  <c r="D70" i="181"/>
  <c r="D69" i="181"/>
  <c r="D68" i="181"/>
  <c r="D67" i="181"/>
  <c r="G67" i="181" s="1"/>
  <c r="D66" i="181"/>
  <c r="D65" i="181"/>
  <c r="G65" i="181" s="1"/>
  <c r="D63" i="181"/>
  <c r="G63" i="181" s="1"/>
  <c r="D62" i="181"/>
  <c r="G62" i="181" s="1"/>
  <c r="D61" i="181"/>
  <c r="G61" i="181" s="1"/>
  <c r="D60" i="181"/>
  <c r="D59" i="181"/>
  <c r="D58" i="181"/>
  <c r="G58" i="181" s="1"/>
  <c r="D56" i="181"/>
  <c r="G56" i="181" s="1"/>
  <c r="D55" i="181"/>
  <c r="D54" i="181"/>
  <c r="D53" i="181"/>
  <c r="G53" i="181" s="1"/>
  <c r="D52" i="181"/>
  <c r="G52" i="181" s="1"/>
  <c r="D51" i="181"/>
  <c r="D50" i="181"/>
  <c r="G50" i="181" s="1"/>
  <c r="D49" i="181"/>
  <c r="D48" i="181"/>
  <c r="G48" i="181" s="1"/>
  <c r="D45" i="181"/>
  <c r="D44" i="181"/>
  <c r="G76" i="181"/>
  <c r="G77" i="181"/>
  <c r="G78" i="181"/>
  <c r="G59" i="181"/>
  <c r="G60" i="181"/>
  <c r="G64" i="181"/>
  <c r="G66" i="181"/>
  <c r="G68" i="181"/>
  <c r="G69" i="181"/>
  <c r="G70" i="181"/>
  <c r="G72" i="181"/>
  <c r="G73" i="181"/>
  <c r="G74" i="181"/>
  <c r="G45" i="181"/>
  <c r="G46" i="181"/>
  <c r="G47" i="181"/>
  <c r="G49" i="181"/>
  <c r="G51" i="181"/>
  <c r="G54" i="181"/>
  <c r="G55" i="181"/>
  <c r="G57" i="181"/>
  <c r="G44" i="181"/>
  <c r="G382" i="178"/>
  <c r="G383" i="178" s="1"/>
  <c r="G384" i="178" s="1"/>
  <c r="G385" i="178" s="1"/>
  <c r="G386" i="178" s="1"/>
  <c r="G387" i="178" s="1"/>
  <c r="G388" i="178" s="1"/>
  <c r="G389" i="178" s="1"/>
  <c r="G390" i="178" s="1"/>
  <c r="G391" i="178" s="1"/>
  <c r="G392" i="178" s="1"/>
  <c r="G393" i="178" s="1"/>
  <c r="G394" i="178" s="1"/>
  <c r="G395" i="178" s="1"/>
  <c r="F68" i="204"/>
  <c r="D68" i="204"/>
  <c r="G51" i="204"/>
  <c r="G52" i="204" s="1"/>
  <c r="G53" i="204" s="1"/>
  <c r="G54" i="204" s="1"/>
  <c r="G55" i="204" s="1"/>
  <c r="G56" i="204" s="1"/>
  <c r="G57" i="204" s="1"/>
  <c r="G58" i="204" s="1"/>
  <c r="G59" i="204" s="1"/>
  <c r="G60" i="204" s="1"/>
  <c r="G61" i="204" s="1"/>
  <c r="G62" i="204" s="1"/>
  <c r="G63" i="204" s="1"/>
  <c r="G64" i="204" s="1"/>
  <c r="G65" i="204" s="1"/>
  <c r="G32" i="204"/>
  <c r="G33" i="204" s="1"/>
  <c r="G34" i="204" s="1"/>
  <c r="G35" i="204" s="1"/>
  <c r="G36" i="204" s="1"/>
  <c r="G37" i="204" s="1"/>
  <c r="G38" i="204" s="1"/>
  <c r="G39" i="204" s="1"/>
  <c r="G40" i="204" s="1"/>
  <c r="G41" i="204" s="1"/>
  <c r="G42" i="204" s="1"/>
  <c r="G43" i="204" s="1"/>
  <c r="G44" i="204" s="1"/>
  <c r="G45" i="204" s="1"/>
  <c r="G46" i="204" s="1"/>
  <c r="G47" i="204" s="1"/>
  <c r="G48" i="204" s="1"/>
  <c r="G6" i="204"/>
  <c r="G7" i="204" s="1"/>
  <c r="G8" i="204" s="1"/>
  <c r="G9" i="204" s="1"/>
  <c r="G10" i="204" s="1"/>
  <c r="G11" i="204" s="1"/>
  <c r="G12" i="204" s="1"/>
  <c r="G13" i="204" s="1"/>
  <c r="G14" i="204" s="1"/>
  <c r="G15" i="204" s="1"/>
  <c r="G16" i="204" s="1"/>
  <c r="G17" i="204" s="1"/>
  <c r="G18" i="204" s="1"/>
  <c r="G19" i="204" s="1"/>
  <c r="G20" i="204" s="1"/>
  <c r="G21" i="204" s="1"/>
  <c r="G22" i="204" s="1"/>
  <c r="G23" i="204" s="1"/>
  <c r="G24" i="204" s="1"/>
  <c r="G25" i="204" s="1"/>
  <c r="G26" i="204" s="1"/>
  <c r="G27" i="204" s="1"/>
  <c r="G28" i="204" s="1"/>
  <c r="G29" i="204" s="1"/>
  <c r="E68" i="204"/>
  <c r="G68" i="204" l="1"/>
  <c r="G8" i="193"/>
  <c r="G9" i="193"/>
  <c r="G10" i="193"/>
  <c r="G11" i="193"/>
  <c r="G12" i="193"/>
  <c r="G13" i="193"/>
  <c r="G14" i="193"/>
  <c r="G15" i="193"/>
  <c r="G16" i="193"/>
  <c r="G17" i="193"/>
  <c r="G18" i="193"/>
  <c r="G19" i="193"/>
  <c r="G20" i="193"/>
  <c r="G21" i="193"/>
  <c r="G22" i="193"/>
  <c r="G23" i="193"/>
  <c r="G24" i="193"/>
  <c r="G25" i="193"/>
  <c r="G26" i="193"/>
  <c r="G27" i="193"/>
  <c r="G28" i="193"/>
  <c r="G29" i="193"/>
  <c r="G30" i="193"/>
  <c r="G31" i="193"/>
  <c r="G32" i="193"/>
  <c r="G33" i="193"/>
  <c r="G34" i="193"/>
  <c r="G35" i="193"/>
  <c r="G36" i="193"/>
  <c r="G37" i="193"/>
  <c r="G38" i="193"/>
  <c r="G39" i="193"/>
  <c r="G40" i="193"/>
  <c r="G41" i="193"/>
  <c r="G42" i="193"/>
  <c r="G43" i="193"/>
  <c r="G44" i="193"/>
  <c r="G45" i="193"/>
  <c r="G46" i="193"/>
  <c r="G47" i="193"/>
  <c r="G48" i="193"/>
  <c r="G49" i="193"/>
  <c r="G50" i="193"/>
  <c r="G51" i="193"/>
  <c r="G52" i="193"/>
  <c r="G53" i="193"/>
  <c r="G54" i="193"/>
  <c r="G55" i="193"/>
  <c r="G56" i="193"/>
  <c r="G57" i="193"/>
  <c r="G58" i="193"/>
  <c r="G59" i="193"/>
  <c r="G60" i="193"/>
  <c r="G61" i="193"/>
  <c r="G62" i="193"/>
  <c r="G63" i="193"/>
  <c r="G64" i="193"/>
  <c r="G65" i="193"/>
  <c r="G66" i="193"/>
  <c r="G67" i="193"/>
  <c r="G68" i="193"/>
  <c r="G69" i="193"/>
  <c r="G70" i="193"/>
  <c r="G71" i="193"/>
  <c r="G72" i="193"/>
  <c r="G73" i="193"/>
  <c r="G74" i="193"/>
  <c r="G7" i="193"/>
  <c r="G8" i="202" l="1"/>
  <c r="G9" i="202"/>
  <c r="G10" i="202"/>
  <c r="G11" i="202"/>
  <c r="G12" i="202"/>
  <c r="G13" i="202"/>
  <c r="G14" i="202"/>
  <c r="G15" i="202"/>
  <c r="G16" i="202"/>
  <c r="G17" i="202"/>
  <c r="G18" i="202"/>
  <c r="G19" i="202"/>
  <c r="G20" i="202"/>
  <c r="G21" i="202"/>
  <c r="G22" i="202"/>
  <c r="G23" i="202"/>
  <c r="G24" i="202"/>
  <c r="G25" i="202"/>
  <c r="G26" i="202"/>
  <c r="G27" i="202"/>
  <c r="G28" i="202"/>
  <c r="G29" i="202"/>
  <c r="G30" i="202"/>
  <c r="G31" i="202"/>
  <c r="G32" i="202"/>
  <c r="G33" i="202"/>
  <c r="G34" i="202"/>
  <c r="G35" i="202"/>
  <c r="G36" i="202"/>
  <c r="G37" i="202"/>
  <c r="G38" i="202"/>
  <c r="G39" i="202"/>
  <c r="G40" i="202"/>
  <c r="G41" i="202"/>
  <c r="G42" i="202"/>
  <c r="G43" i="202"/>
  <c r="G44" i="202"/>
  <c r="G45" i="202"/>
  <c r="G46" i="202"/>
  <c r="G47" i="202"/>
  <c r="G48" i="202"/>
  <c r="G49" i="202"/>
  <c r="G50" i="202"/>
  <c r="G51" i="202"/>
  <c r="G52" i="202"/>
  <c r="G53" i="202"/>
  <c r="G54" i="202"/>
  <c r="G55" i="202"/>
  <c r="G56" i="202"/>
  <c r="G57" i="202"/>
  <c r="G58" i="202"/>
  <c r="G59" i="202"/>
  <c r="G60" i="202"/>
  <c r="G61" i="202"/>
  <c r="G62" i="202"/>
  <c r="G63" i="202"/>
  <c r="G64" i="202"/>
  <c r="G65" i="202"/>
  <c r="G66" i="202"/>
  <c r="G67" i="202"/>
  <c r="G68" i="202"/>
  <c r="G69" i="202"/>
  <c r="G70" i="202"/>
  <c r="G71" i="202"/>
  <c r="G72" i="202"/>
  <c r="G73" i="202"/>
  <c r="G74" i="202"/>
  <c r="F75" i="202"/>
  <c r="E75" i="202"/>
  <c r="D75" i="202"/>
  <c r="G75" i="202" l="1"/>
  <c r="G19" i="191"/>
  <c r="G20" i="191" s="1"/>
  <c r="G21" i="191" s="1"/>
  <c r="E61" i="193" l="1"/>
  <c r="G65" i="184"/>
  <c r="G66" i="184" s="1"/>
  <c r="E7" i="193"/>
  <c r="D22" i="200" l="1"/>
  <c r="G22" i="200" s="1"/>
  <c r="G9" i="200"/>
  <c r="G10" i="200" s="1"/>
  <c r="G11" i="200" s="1"/>
  <c r="G12" i="200" s="1"/>
  <c r="G13" i="200" s="1"/>
  <c r="G14" i="200" s="1"/>
  <c r="G15" i="200" s="1"/>
  <c r="G17" i="199"/>
  <c r="G18" i="199" s="1"/>
  <c r="G19" i="199" s="1"/>
  <c r="G20" i="199" s="1"/>
  <c r="G21" i="199" s="1"/>
  <c r="G8" i="199"/>
  <c r="G9" i="199" s="1"/>
  <c r="G10" i="199" s="1"/>
  <c r="G11" i="199" s="1"/>
  <c r="G12" i="199" s="1"/>
  <c r="G13" i="199" s="1"/>
  <c r="G14" i="199" s="1"/>
  <c r="G15" i="199" s="1"/>
  <c r="D27" i="199"/>
  <c r="F27" i="199" l="1"/>
  <c r="E27" i="199"/>
  <c r="G6" i="177"/>
  <c r="G7" i="177" s="1"/>
  <c r="K144" i="185"/>
  <c r="G144" i="185"/>
  <c r="G145" i="185" s="1"/>
  <c r="G146" i="185" s="1"/>
  <c r="G147" i="185" s="1"/>
  <c r="G137" i="185"/>
  <c r="G138" i="185" s="1"/>
  <c r="G139" i="185" s="1"/>
  <c r="G140" i="185" s="1"/>
  <c r="G141" i="185" s="1"/>
  <c r="G142" i="185" s="1"/>
  <c r="J104" i="185"/>
  <c r="J79" i="185"/>
  <c r="G27" i="199" l="1"/>
  <c r="G30" i="123"/>
  <c r="G15" i="123"/>
  <c r="G22" i="198" l="1"/>
  <c r="G23" i="198" s="1"/>
  <c r="G24" i="198" s="1"/>
  <c r="G25" i="198" s="1"/>
  <c r="G26" i="198" s="1"/>
  <c r="G27" i="198" s="1"/>
  <c r="G28" i="198" s="1"/>
  <c r="G29" i="198" s="1"/>
  <c r="G30" i="198" s="1"/>
  <c r="F32" i="198"/>
  <c r="E32" i="198"/>
  <c r="D32" i="198"/>
  <c r="G7" i="198"/>
  <c r="G8" i="198" s="1"/>
  <c r="G9" i="198" s="1"/>
  <c r="G10" i="198" s="1"/>
  <c r="G11" i="198" s="1"/>
  <c r="G12" i="198" s="1"/>
  <c r="G13" i="198" s="1"/>
  <c r="G14" i="198" s="1"/>
  <c r="G15" i="198" s="1"/>
  <c r="G16" i="198" s="1"/>
  <c r="G17" i="198" s="1"/>
  <c r="G18" i="198" s="1"/>
  <c r="G19" i="198" s="1"/>
  <c r="G32" i="198" l="1"/>
  <c r="G61" i="177"/>
  <c r="G62" i="177" s="1"/>
  <c r="G63" i="177" s="1"/>
  <c r="G64" i="177" s="1"/>
  <c r="G65" i="177" s="1"/>
  <c r="E34" i="182"/>
  <c r="G58" i="184" l="1"/>
  <c r="G59" i="184" s="1"/>
  <c r="E16" i="181" l="1"/>
  <c r="E38" i="181" l="1"/>
  <c r="G56" i="175" l="1"/>
  <c r="G57" i="175" s="1"/>
  <c r="E31" i="181"/>
  <c r="E20" i="181"/>
  <c r="E39" i="181"/>
  <c r="G45" i="123"/>
  <c r="G29" i="123"/>
  <c r="E210" i="182" l="1"/>
  <c r="E211" i="182"/>
  <c r="E115" i="182"/>
  <c r="G115" i="182" s="1"/>
  <c r="E99" i="182"/>
  <c r="G99" i="182" s="1"/>
  <c r="E109" i="182"/>
  <c r="G109" i="182" s="1"/>
  <c r="E160" i="182"/>
  <c r="E144" i="182"/>
  <c r="G144" i="182" s="1"/>
  <c r="E166" i="182"/>
  <c r="G166" i="182" s="1"/>
  <c r="E140" i="182"/>
  <c r="E135" i="182"/>
  <c r="G135" i="182" s="1"/>
  <c r="E145" i="182"/>
  <c r="G145" i="182" s="1"/>
  <c r="E143" i="182"/>
  <c r="E170" i="182"/>
  <c r="G170" i="182" s="1"/>
  <c r="E167" i="182"/>
  <c r="G167" i="182" s="1"/>
  <c r="E152" i="182"/>
  <c r="G152" i="182" s="1"/>
  <c r="E169" i="182"/>
  <c r="G169" i="182" s="1"/>
  <c r="E153" i="182"/>
  <c r="E122" i="182"/>
  <c r="G164" i="182"/>
  <c r="E142" i="182"/>
  <c r="G142" i="182" s="1"/>
  <c r="E150" i="182"/>
  <c r="E141" i="182"/>
  <c r="E114" i="182"/>
  <c r="G114" i="182" s="1"/>
  <c r="E93" i="182"/>
  <c r="G93" i="182" s="1"/>
  <c r="E89" i="182"/>
  <c r="E97" i="182"/>
  <c r="G97" i="182" s="1"/>
  <c r="E90" i="182"/>
  <c r="G90" i="182" s="1"/>
  <c r="E111" i="182"/>
  <c r="E25" i="182"/>
  <c r="G25" i="182" s="1"/>
  <c r="E100" i="182"/>
  <c r="G100" i="182" s="1"/>
  <c r="E88" i="182"/>
  <c r="G88" i="182" s="1"/>
  <c r="E85" i="182"/>
  <c r="G85" i="182" s="1"/>
  <c r="E176" i="182"/>
  <c r="G176" i="182" s="1"/>
  <c r="E146" i="182"/>
  <c r="G146" i="182" s="1"/>
  <c r="E178" i="182"/>
  <c r="G178" i="182" s="1"/>
  <c r="E175" i="182"/>
  <c r="E80" i="182"/>
  <c r="G80" i="182" s="1"/>
  <c r="E28" i="182"/>
  <c r="G28" i="182" s="1"/>
  <c r="E52" i="182"/>
  <c r="G52" i="182" s="1"/>
  <c r="E138" i="182"/>
  <c r="G138" i="182" s="1"/>
  <c r="E158" i="182"/>
  <c r="G158" i="182" s="1"/>
  <c r="E184" i="182"/>
  <c r="G184" i="182" s="1"/>
  <c r="E119" i="182"/>
  <c r="G119" i="182" s="1"/>
  <c r="E29" i="182"/>
  <c r="G29" i="182" s="1"/>
  <c r="E121" i="182"/>
  <c r="G121" i="182" s="1"/>
  <c r="E157" i="182"/>
  <c r="G157" i="182" s="1"/>
  <c r="G8" i="127"/>
  <c r="G9" i="127" s="1"/>
  <c r="G126" i="182"/>
  <c r="E91" i="182"/>
  <c r="G91" i="182" s="1"/>
  <c r="E112" i="182"/>
  <c r="E92" i="182"/>
  <c r="G92" i="182" s="1"/>
  <c r="E35" i="182"/>
  <c r="G35" i="182" s="1"/>
  <c r="E26" i="182"/>
  <c r="G26" i="182" s="1"/>
  <c r="E46" i="182"/>
  <c r="G46" i="182" s="1"/>
  <c r="E60" i="182"/>
  <c r="G60" i="182" s="1"/>
  <c r="E32" i="182"/>
  <c r="G32" i="182" s="1"/>
  <c r="E44" i="182"/>
  <c r="G44" i="182" s="1"/>
  <c r="E72" i="182"/>
  <c r="G72" i="182" s="1"/>
  <c r="E82" i="182"/>
  <c r="G82" i="182" s="1"/>
  <c r="E61" i="182"/>
  <c r="G61" i="182" s="1"/>
  <c r="E67" i="182"/>
  <c r="E79" i="182"/>
  <c r="E36" i="182"/>
  <c r="G36" i="182" s="1"/>
  <c r="E43" i="182"/>
  <c r="G43" i="182" s="1"/>
  <c r="E69" i="182"/>
  <c r="G69" i="182" s="1"/>
  <c r="E33" i="182"/>
  <c r="G33" i="182" s="1"/>
  <c r="E39" i="182"/>
  <c r="G39" i="182" s="1"/>
  <c r="E53" i="182"/>
  <c r="G53" i="182" s="1"/>
  <c r="E27" i="182"/>
  <c r="G27" i="182" s="1"/>
  <c r="E41" i="182"/>
  <c r="E81" i="182"/>
  <c r="G81" i="182" s="1"/>
  <c r="E66" i="182"/>
  <c r="G66" i="182" s="1"/>
  <c r="E21" i="182"/>
  <c r="E55" i="182"/>
  <c r="G55" i="182" s="1"/>
  <c r="E58" i="182"/>
  <c r="G58" i="182" s="1"/>
  <c r="E183" i="182"/>
  <c r="G183" i="182" s="1"/>
  <c r="G203" i="182"/>
  <c r="E205" i="182"/>
  <c r="G205" i="182" s="1"/>
  <c r="E194" i="182"/>
  <c r="E199" i="182"/>
  <c r="G199" i="182" s="1"/>
  <c r="G192" i="182"/>
  <c r="E197" i="182"/>
  <c r="E181" i="182"/>
  <c r="E186" i="182"/>
  <c r="G186" i="182" s="1"/>
  <c r="E209" i="182"/>
  <c r="G209" i="182" s="1"/>
  <c r="E206" i="182"/>
  <c r="G206" i="182" s="1"/>
  <c r="G29" i="189"/>
  <c r="G30" i="189" s="1"/>
  <c r="G31" i="189" s="1"/>
  <c r="G32" i="189" s="1"/>
  <c r="G33" i="189" s="1"/>
  <c r="G34" i="189" s="1"/>
  <c r="G35" i="189" s="1"/>
  <c r="G36" i="189" s="1"/>
  <c r="G37" i="189" s="1"/>
  <c r="G38" i="189" s="1"/>
  <c r="G39" i="189" s="1"/>
  <c r="G40" i="189" s="1"/>
  <c r="G86" i="182"/>
  <c r="G117" i="182"/>
  <c r="G110" i="182"/>
  <c r="G106" i="182"/>
  <c r="G98" i="182"/>
  <c r="G101" i="182"/>
  <c r="G96" i="182"/>
  <c r="G84" i="182"/>
  <c r="G83" i="182"/>
  <c r="G34" i="182"/>
  <c r="G49" i="182"/>
  <c r="G78" i="182"/>
  <c r="G42" i="182"/>
  <c r="G38" i="182"/>
  <c r="G22" i="182"/>
  <c r="G77" i="182"/>
  <c r="G56" i="182"/>
  <c r="G45" i="182"/>
  <c r="G47" i="182"/>
  <c r="G156" i="182"/>
  <c r="G129" i="182"/>
  <c r="G134" i="182"/>
  <c r="G149" i="182"/>
  <c r="G130" i="182"/>
  <c r="G139" i="182"/>
  <c r="G155" i="182"/>
  <c r="G148" i="182"/>
  <c r="G124" i="182"/>
  <c r="G127" i="182"/>
  <c r="G131" i="182"/>
  <c r="G151" i="182"/>
  <c r="G208" i="182"/>
  <c r="G212" i="182"/>
  <c r="G200" i="182"/>
  <c r="G185" i="182"/>
  <c r="G191" i="182"/>
  <c r="G118" i="182"/>
  <c r="G108" i="182"/>
  <c r="G94" i="182"/>
  <c r="G76" i="182"/>
  <c r="G74" i="182"/>
  <c r="G59" i="182"/>
  <c r="G62" i="182"/>
  <c r="G57" i="182"/>
  <c r="G75" i="182"/>
  <c r="G68" i="182"/>
  <c r="G65" i="182"/>
  <c r="G64" i="182"/>
  <c r="G163" i="182"/>
  <c r="G177" i="182"/>
  <c r="G174" i="182"/>
  <c r="G173" i="182"/>
  <c r="G172" i="182"/>
  <c r="G159" i="182"/>
  <c r="G132" i="182"/>
  <c r="G136" i="182"/>
  <c r="G161" i="182"/>
  <c r="G162" i="182"/>
  <c r="F20" i="195"/>
  <c r="D20" i="195"/>
  <c r="G201" i="182"/>
  <c r="G180" i="182"/>
  <c r="G196" i="182"/>
  <c r="G193" i="182"/>
  <c r="G189" i="182"/>
  <c r="G188" i="182"/>
  <c r="E14" i="181"/>
  <c r="E41" i="181"/>
  <c r="G41" i="181" s="1"/>
  <c r="G10" i="175"/>
  <c r="G11" i="175" s="1"/>
  <c r="G10" i="189"/>
  <c r="G11" i="189" s="1"/>
  <c r="G12" i="189" s="1"/>
  <c r="G13" i="189" s="1"/>
  <c r="G14" i="189" s="1"/>
  <c r="G15" i="189" s="1"/>
  <c r="G16" i="189" s="1"/>
  <c r="G17" i="189" s="1"/>
  <c r="G18" i="189" s="1"/>
  <c r="G19" i="189" s="1"/>
  <c r="G20" i="189" s="1"/>
  <c r="G199" i="194"/>
  <c r="F201" i="194"/>
  <c r="E201" i="194"/>
  <c r="D201" i="194"/>
  <c r="G39" i="184"/>
  <c r="G40" i="184" s="1"/>
  <c r="G41" i="184" s="1"/>
  <c r="G42" i="184" s="1"/>
  <c r="G43" i="184" s="1"/>
  <c r="G18" i="187"/>
  <c r="G19" i="187" s="1"/>
  <c r="G20" i="187" s="1"/>
  <c r="G14" i="187"/>
  <c r="G15" i="187" s="1"/>
  <c r="G16" i="187" s="1"/>
  <c r="G8" i="179"/>
  <c r="G9" i="179" s="1"/>
  <c r="G10" i="179" s="1"/>
  <c r="G11" i="179" s="1"/>
  <c r="G12" i="179" s="1"/>
  <c r="G13" i="179" s="1"/>
  <c r="G14" i="179" s="1"/>
  <c r="G15" i="179" s="1"/>
  <c r="G16" i="179" s="1"/>
  <c r="G17" i="179" s="1"/>
  <c r="G18" i="179" s="1"/>
  <c r="G19" i="179" s="1"/>
  <c r="G20" i="179" s="1"/>
  <c r="G8" i="186"/>
  <c r="G9" i="186" s="1"/>
  <c r="G10" i="186" s="1"/>
  <c r="G11" i="186" s="1"/>
  <c r="G12" i="186" s="1"/>
  <c r="G13" i="186" s="1"/>
  <c r="G14" i="186" s="1"/>
  <c r="D75" i="193"/>
  <c r="F75" i="193"/>
  <c r="E75" i="193"/>
  <c r="G15" i="190"/>
  <c r="G16" i="190"/>
  <c r="G17" i="190"/>
  <c r="G18" i="190"/>
  <c r="G19" i="190"/>
  <c r="G20" i="190"/>
  <c r="G21" i="190"/>
  <c r="G22" i="190"/>
  <c r="G23" i="190"/>
  <c r="G24" i="190"/>
  <c r="G25" i="190"/>
  <c r="G26" i="190"/>
  <c r="G27" i="190"/>
  <c r="G28" i="190"/>
  <c r="G29" i="190"/>
  <c r="G30" i="190"/>
  <c r="G31" i="190"/>
  <c r="G32" i="190"/>
  <c r="G33" i="190"/>
  <c r="G14" i="190"/>
  <c r="E71" i="182"/>
  <c r="G71" i="182" s="1"/>
  <c r="E154" i="182"/>
  <c r="G154" i="182" s="1"/>
  <c r="E113" i="182"/>
  <c r="G113" i="182" s="1"/>
  <c r="E48" i="182"/>
  <c r="G48" i="182" s="1"/>
  <c r="E70" i="182"/>
  <c r="G70" i="182" s="1"/>
  <c r="G20" i="182"/>
  <c r="G73" i="182"/>
  <c r="G165" i="182"/>
  <c r="E10" i="181"/>
  <c r="G10" i="181" s="1"/>
  <c r="E15" i="181"/>
  <c r="E11" i="181"/>
  <c r="G11" i="181" s="1"/>
  <c r="E24" i="181"/>
  <c r="G24" i="181" s="1"/>
  <c r="E34" i="181"/>
  <c r="E18" i="181"/>
  <c r="G18" i="181" s="1"/>
  <c r="E35" i="181"/>
  <c r="G35" i="181" s="1"/>
  <c r="E32" i="181"/>
  <c r="G32" i="181" s="1"/>
  <c r="G24" i="179"/>
  <c r="G25" i="179" s="1"/>
  <c r="E36" i="181"/>
  <c r="G36" i="181" s="1"/>
  <c r="E9" i="181"/>
  <c r="E27" i="181"/>
  <c r="G27" i="181" s="1"/>
  <c r="E19" i="181"/>
  <c r="G19" i="181" s="1"/>
  <c r="E25" i="181"/>
  <c r="E13" i="181"/>
  <c r="G13" i="181" s="1"/>
  <c r="E37" i="181"/>
  <c r="G37" i="181" s="1"/>
  <c r="E29" i="181"/>
  <c r="E8" i="181"/>
  <c r="E28" i="181"/>
  <c r="G28" i="181" s="1"/>
  <c r="E22" i="181"/>
  <c r="G22" i="181" s="1"/>
  <c r="E30" i="181"/>
  <c r="E23" i="181"/>
  <c r="G23" i="181" s="1"/>
  <c r="G13" i="191"/>
  <c r="G14" i="191" s="1"/>
  <c r="G132" i="185"/>
  <c r="G133" i="185" s="1"/>
  <c r="G134" i="185" s="1"/>
  <c r="G135" i="185" s="1"/>
  <c r="E396" i="178"/>
  <c r="D283" i="178"/>
  <c r="G82" i="177"/>
  <c r="G14" i="175"/>
  <c r="G15" i="175" s="1"/>
  <c r="G16" i="175" s="1"/>
  <c r="G17" i="175" s="1"/>
  <c r="G18" i="175" s="1"/>
  <c r="G19" i="175" s="1"/>
  <c r="G20" i="175" s="1"/>
  <c r="G21" i="175" s="1"/>
  <c r="G24" i="175"/>
  <c r="G25" i="175" s="1"/>
  <c r="G26" i="175" s="1"/>
  <c r="G27" i="175" s="1"/>
  <c r="G28" i="175" s="1"/>
  <c r="G29" i="175" s="1"/>
  <c r="G30" i="175" s="1"/>
  <c r="G31" i="175" s="1"/>
  <c r="G32" i="175" s="1"/>
  <c r="G33" i="175" s="1"/>
  <c r="G34" i="175" s="1"/>
  <c r="G35" i="175" s="1"/>
  <c r="G36" i="175" s="1"/>
  <c r="G37" i="175" s="1"/>
  <c r="G38" i="175" s="1"/>
  <c r="G39" i="175" s="1"/>
  <c r="G40" i="175" s="1"/>
  <c r="G41" i="175" s="1"/>
  <c r="G42" i="175" s="1"/>
  <c r="G43" i="175" s="1"/>
  <c r="G44" i="175" s="1"/>
  <c r="G45" i="175" s="1"/>
  <c r="G46" i="175" s="1"/>
  <c r="G47" i="175" s="1"/>
  <c r="G48" i="175" s="1"/>
  <c r="G49" i="175" s="1"/>
  <c r="G50" i="175" s="1"/>
  <c r="G51" i="175" s="1"/>
  <c r="G52" i="175" s="1"/>
  <c r="G53" i="175" s="1"/>
  <c r="G24" i="176"/>
  <c r="G25" i="176" s="1"/>
  <c r="G26" i="176" s="1"/>
  <c r="G56" i="177"/>
  <c r="G57" i="177" s="1"/>
  <c r="G58" i="177" s="1"/>
  <c r="G120" i="185"/>
  <c r="G121" i="185" s="1"/>
  <c r="G122" i="185" s="1"/>
  <c r="G123" i="185" s="1"/>
  <c r="G124" i="185" s="1"/>
  <c r="G125" i="185" s="1"/>
  <c r="G126" i="185" s="1"/>
  <c r="G127" i="185" s="1"/>
  <c r="G128" i="185" s="1"/>
  <c r="G129" i="185" s="1"/>
  <c r="G9" i="191"/>
  <c r="G10" i="191" s="1"/>
  <c r="G11" i="191" s="1"/>
  <c r="G12" i="191" s="1"/>
  <c r="G8" i="191"/>
  <c r="K35" i="114"/>
  <c r="G60" i="175"/>
  <c r="G140" i="182"/>
  <c r="G175" i="182"/>
  <c r="G67" i="182"/>
  <c r="G25" i="192"/>
  <c r="G26" i="192"/>
  <c r="G27" i="192"/>
  <c r="G28" i="192"/>
  <c r="G29" i="192"/>
  <c r="F33" i="192"/>
  <c r="E33" i="192"/>
  <c r="D33" i="192"/>
  <c r="G105" i="182"/>
  <c r="G51" i="182"/>
  <c r="G31" i="182"/>
  <c r="G179" i="182"/>
  <c r="E37" i="176"/>
  <c r="G36" i="176"/>
  <c r="E35" i="176"/>
  <c r="G34" i="176"/>
  <c r="G35" i="176" s="1"/>
  <c r="E33" i="176"/>
  <c r="G32" i="176"/>
  <c r="E31" i="176"/>
  <c r="G30" i="176"/>
  <c r="E29" i="176"/>
  <c r="G28" i="176"/>
  <c r="G15" i="127"/>
  <c r="G16" i="127" s="1"/>
  <c r="G17" i="127" s="1"/>
  <c r="G18" i="127" s="1"/>
  <c r="G19" i="127" s="1"/>
  <c r="G20" i="127" s="1"/>
  <c r="G21" i="127" s="1"/>
  <c r="G18" i="180"/>
  <c r="G19" i="180" s="1"/>
  <c r="G31" i="184"/>
  <c r="G32" i="184" s="1"/>
  <c r="G33" i="184" s="1"/>
  <c r="G20" i="176"/>
  <c r="G21" i="176" s="1"/>
  <c r="G18" i="176"/>
  <c r="G19" i="176" s="1"/>
  <c r="G16" i="176"/>
  <c r="G17" i="176" s="1"/>
  <c r="L33" i="114"/>
  <c r="L32" i="114"/>
  <c r="L31" i="114"/>
  <c r="L12" i="114"/>
  <c r="F23" i="191"/>
  <c r="E23" i="191"/>
  <c r="D23" i="191"/>
  <c r="G23" i="191" s="1"/>
  <c r="G6" i="191"/>
  <c r="D396" i="178"/>
  <c r="G117" i="185"/>
  <c r="G118" i="185" s="1"/>
  <c r="G7" i="189"/>
  <c r="G7" i="184"/>
  <c r="G8" i="184" s="1"/>
  <c r="E23" i="173"/>
  <c r="D23" i="173"/>
  <c r="C23" i="173"/>
  <c r="G11" i="173"/>
  <c r="G10" i="173"/>
  <c r="E23" i="1"/>
  <c r="D23" i="1"/>
  <c r="C23" i="1"/>
  <c r="G12" i="1"/>
  <c r="G11" i="1"/>
  <c r="G10" i="1"/>
  <c r="G9" i="1"/>
  <c r="F9" i="1"/>
  <c r="F35" i="190"/>
  <c r="E35" i="190"/>
  <c r="D35" i="190"/>
  <c r="F43" i="189"/>
  <c r="E43" i="189"/>
  <c r="D43" i="189"/>
  <c r="F43" i="187"/>
  <c r="E43" i="187"/>
  <c r="D43" i="187"/>
  <c r="G6" i="187"/>
  <c r="G7" i="187" s="1"/>
  <c r="G8" i="187" s="1"/>
  <c r="G9" i="187" s="1"/>
  <c r="G10" i="187" s="1"/>
  <c r="G11" i="187" s="1"/>
  <c r="F31" i="186"/>
  <c r="E31" i="186"/>
  <c r="D31" i="186"/>
  <c r="L7" i="114"/>
  <c r="L8" i="114"/>
  <c r="L9" i="114"/>
  <c r="L10" i="114"/>
  <c r="L11" i="114"/>
  <c r="L6" i="114"/>
  <c r="G25" i="184"/>
  <c r="G26" i="184" s="1"/>
  <c r="G27" i="184" s="1"/>
  <c r="G28" i="184" s="1"/>
  <c r="F185" i="185"/>
  <c r="G185" i="185" s="1"/>
  <c r="E185" i="185"/>
  <c r="D185" i="185"/>
  <c r="J186" i="185" s="1"/>
  <c r="G111" i="185"/>
  <c r="G112" i="185" s="1"/>
  <c r="G113" i="185" s="1"/>
  <c r="G97" i="185"/>
  <c r="G98" i="185" s="1"/>
  <c r="G99" i="185" s="1"/>
  <c r="G100" i="185" s="1"/>
  <c r="G101" i="185" s="1"/>
  <c r="G102" i="185" s="1"/>
  <c r="G103" i="185" s="1"/>
  <c r="G104" i="185" s="1"/>
  <c r="G105" i="185" s="1"/>
  <c r="G106" i="185" s="1"/>
  <c r="G107" i="185" s="1"/>
  <c r="G108" i="185" s="1"/>
  <c r="G109" i="185" s="1"/>
  <c r="G95" i="185"/>
  <c r="G66" i="185"/>
  <c r="G67" i="185" s="1"/>
  <c r="G68" i="185" s="1"/>
  <c r="G69" i="185" s="1"/>
  <c r="G70" i="185" s="1"/>
  <c r="G71" i="185" s="1"/>
  <c r="G72" i="185" s="1"/>
  <c r="G73" i="185" s="1"/>
  <c r="G74" i="185" s="1"/>
  <c r="G75" i="185" s="1"/>
  <c r="G76" i="185" s="1"/>
  <c r="G77" i="185" s="1"/>
  <c r="G78" i="185" s="1"/>
  <c r="G79" i="185" s="1"/>
  <c r="G80" i="185" s="1"/>
  <c r="G81" i="185" s="1"/>
  <c r="G82" i="185" s="1"/>
  <c r="G83" i="185" s="1"/>
  <c r="G84" i="185" s="1"/>
  <c r="G85" i="185" s="1"/>
  <c r="G86" i="185" s="1"/>
  <c r="G87" i="185" s="1"/>
  <c r="G88" i="185" s="1"/>
  <c r="G89" i="185" s="1"/>
  <c r="G90" i="185" s="1"/>
  <c r="G91" i="185" s="1"/>
  <c r="G92" i="185" s="1"/>
  <c r="G56" i="185"/>
  <c r="G57" i="185" s="1"/>
  <c r="G58" i="185" s="1"/>
  <c r="G59" i="185" s="1"/>
  <c r="G60" i="185" s="1"/>
  <c r="G61" i="185" s="1"/>
  <c r="G62" i="185" s="1"/>
  <c r="G63" i="185" s="1"/>
  <c r="G23" i="185"/>
  <c r="G24" i="185" s="1"/>
  <c r="G25" i="185" s="1"/>
  <c r="G26" i="185" s="1"/>
  <c r="G27" i="185" s="1"/>
  <c r="G28" i="185" s="1"/>
  <c r="G29" i="185" s="1"/>
  <c r="G30" i="185" s="1"/>
  <c r="G31" i="185" s="1"/>
  <c r="G32" i="185" s="1"/>
  <c r="G33" i="185" s="1"/>
  <c r="G34" i="185" s="1"/>
  <c r="G35" i="185" s="1"/>
  <c r="G36" i="185" s="1"/>
  <c r="G37" i="185" s="1"/>
  <c r="G38" i="185" s="1"/>
  <c r="G39" i="185" s="1"/>
  <c r="G40" i="185" s="1"/>
  <c r="G41" i="185" s="1"/>
  <c r="G42" i="185" s="1"/>
  <c r="G43" i="185" s="1"/>
  <c r="G44" i="185" s="1"/>
  <c r="G45" i="185" s="1"/>
  <c r="G46" i="185" s="1"/>
  <c r="G47" i="185" s="1"/>
  <c r="G48" i="185" s="1"/>
  <c r="G49" i="185" s="1"/>
  <c r="G50" i="185" s="1"/>
  <c r="G51" i="185" s="1"/>
  <c r="G52" i="185" s="1"/>
  <c r="G53" i="185" s="1"/>
  <c r="G54" i="185" s="1"/>
  <c r="G13" i="185"/>
  <c r="G14" i="185" s="1"/>
  <c r="G15" i="185" s="1"/>
  <c r="G16" i="185" s="1"/>
  <c r="G17" i="185" s="1"/>
  <c r="G18" i="185" s="1"/>
  <c r="G19" i="185" s="1"/>
  <c r="G20" i="185" s="1"/>
  <c r="G21" i="185" s="1"/>
  <c r="G6" i="185"/>
  <c r="G7" i="185" s="1"/>
  <c r="G8" i="185" s="1"/>
  <c r="G9" i="185" s="1"/>
  <c r="G10" i="185" s="1"/>
  <c r="G11" i="185" s="1"/>
  <c r="F94" i="184"/>
  <c r="E94" i="184"/>
  <c r="D94" i="184"/>
  <c r="G21" i="184"/>
  <c r="G22" i="184" s="1"/>
  <c r="G16" i="184"/>
  <c r="G17" i="184" s="1"/>
  <c r="G18" i="184" s="1"/>
  <c r="G11" i="184"/>
  <c r="G12" i="184" s="1"/>
  <c r="G13" i="184" s="1"/>
  <c r="G50" i="177"/>
  <c r="G52" i="177" s="1"/>
  <c r="G53" i="177" s="1"/>
  <c r="G8" i="183"/>
  <c r="G23" i="182"/>
  <c r="G24" i="182"/>
  <c r="G30" i="182"/>
  <c r="G37" i="182"/>
  <c r="G40" i="182"/>
  <c r="G41" i="182"/>
  <c r="G50" i="182"/>
  <c r="G54" i="182"/>
  <c r="G63" i="182"/>
  <c r="G79" i="182"/>
  <c r="G87" i="182"/>
  <c r="G89" i="182"/>
  <c r="G95" i="182"/>
  <c r="G102" i="182"/>
  <c r="G103" i="182"/>
  <c r="G104" i="182"/>
  <c r="G107" i="182"/>
  <c r="G111" i="182"/>
  <c r="G112" i="182"/>
  <c r="G116" i="182"/>
  <c r="G120" i="182"/>
  <c r="G122" i="182"/>
  <c r="G123" i="182"/>
  <c r="G125" i="182"/>
  <c r="G128" i="182"/>
  <c r="G133" i="182"/>
  <c r="G137" i="182"/>
  <c r="G141" i="182"/>
  <c r="G143" i="182"/>
  <c r="G147" i="182"/>
  <c r="G150" i="182"/>
  <c r="G153" i="182"/>
  <c r="G160" i="182"/>
  <c r="G168" i="182"/>
  <c r="G171" i="182"/>
  <c r="G181" i="182"/>
  <c r="G182" i="182"/>
  <c r="G187" i="182"/>
  <c r="G190" i="182"/>
  <c r="G194" i="182"/>
  <c r="G195" i="182"/>
  <c r="G197" i="182"/>
  <c r="G198" i="182"/>
  <c r="G202" i="182"/>
  <c r="G204" i="182"/>
  <c r="G207" i="182"/>
  <c r="G210" i="182"/>
  <c r="G211" i="182"/>
  <c r="F21" i="183"/>
  <c r="E21" i="183"/>
  <c r="D21" i="183"/>
  <c r="G21" i="183" s="1"/>
  <c r="G8" i="182"/>
  <c r="G9" i="182" s="1"/>
  <c r="G10" i="182" s="1"/>
  <c r="G11" i="182" s="1"/>
  <c r="G12" i="182" s="1"/>
  <c r="G13" i="182" s="1"/>
  <c r="G14" i="182" s="1"/>
  <c r="G15" i="182" s="1"/>
  <c r="G16" i="182" s="1"/>
  <c r="G17" i="182" s="1"/>
  <c r="D218" i="182"/>
  <c r="G6" i="182"/>
  <c r="G40" i="181"/>
  <c r="G39" i="181"/>
  <c r="G38" i="181"/>
  <c r="D82" i="181"/>
  <c r="G20" i="181"/>
  <c r="G21" i="181"/>
  <c r="G25" i="181"/>
  <c r="G26" i="181"/>
  <c r="G29" i="181"/>
  <c r="G30" i="181"/>
  <c r="G31" i="181"/>
  <c r="G43" i="181"/>
  <c r="G12" i="181"/>
  <c r="G9" i="181"/>
  <c r="G14" i="181"/>
  <c r="G15" i="181"/>
  <c r="G16" i="181"/>
  <c r="G17" i="181"/>
  <c r="F82" i="181"/>
  <c r="G12" i="180"/>
  <c r="G13" i="180" s="1"/>
  <c r="G14" i="180" s="1"/>
  <c r="G37" i="123"/>
  <c r="G38" i="123" s="1"/>
  <c r="G39" i="123" s="1"/>
  <c r="G40" i="123" s="1"/>
  <c r="G41" i="123" s="1"/>
  <c r="G42" i="123" s="1"/>
  <c r="G36" i="123"/>
  <c r="G7" i="176"/>
  <c r="G8" i="176" s="1"/>
  <c r="G9" i="176"/>
  <c r="G10" i="176" s="1"/>
  <c r="G11" i="176"/>
  <c r="G12" i="176" s="1"/>
  <c r="G13" i="176" s="1"/>
  <c r="F49" i="176"/>
  <c r="F65" i="176" s="1"/>
  <c r="G7" i="180"/>
  <c r="G8" i="180" s="1"/>
  <c r="G9" i="180" s="1"/>
  <c r="D25" i="180"/>
  <c r="E25" i="180"/>
  <c r="F25" i="180"/>
  <c r="D27" i="179"/>
  <c r="E27" i="179"/>
  <c r="F27" i="179"/>
  <c r="G6" i="175"/>
  <c r="D111" i="175"/>
  <c r="E111" i="175"/>
  <c r="F111" i="175"/>
  <c r="D26" i="127"/>
  <c r="E26" i="127"/>
  <c r="F26" i="127"/>
  <c r="G7" i="18"/>
  <c r="G8" i="18" s="1"/>
  <c r="G9" i="18" s="1"/>
  <c r="G10" i="18" s="1"/>
  <c r="G11" i="18" s="1"/>
  <c r="G12" i="18" s="1"/>
  <c r="G13" i="18" s="1"/>
  <c r="G14" i="18" s="1"/>
  <c r="G15" i="18" s="1"/>
  <c r="G16" i="18" s="1"/>
  <c r="G17" i="18" s="1"/>
  <c r="G18" i="18" s="1"/>
  <c r="G19" i="18" s="1"/>
  <c r="G23" i="18"/>
  <c r="G24" i="18" s="1"/>
  <c r="G25" i="18" s="1"/>
  <c r="G26" i="18" s="1"/>
  <c r="G27" i="18" s="1"/>
  <c r="G28" i="18" s="1"/>
  <c r="G29" i="18" s="1"/>
  <c r="G30" i="18" s="1"/>
  <c r="G31" i="18" s="1"/>
  <c r="G32" i="18" s="1"/>
  <c r="G33" i="18" s="1"/>
  <c r="G34" i="18" s="1"/>
  <c r="G35" i="18" s="1"/>
  <c r="G36" i="18" s="1"/>
  <c r="G37" i="18" s="1"/>
  <c r="G38" i="18" s="1"/>
  <c r="G39" i="18" s="1"/>
  <c r="G40" i="18" s="1"/>
  <c r="G41" i="18" s="1"/>
  <c r="G42" i="18" s="1"/>
  <c r="G43" i="18" s="1"/>
  <c r="D46" i="18"/>
  <c r="E46" i="18"/>
  <c r="F46" i="18"/>
  <c r="K60" i="18"/>
  <c r="G6" i="124"/>
  <c r="G7" i="124" s="1"/>
  <c r="G8" i="124" s="1"/>
  <c r="G9" i="124" s="1"/>
  <c r="G10" i="124" s="1"/>
  <c r="G11" i="124" s="1"/>
  <c r="G12" i="124" s="1"/>
  <c r="G13" i="124" s="1"/>
  <c r="G14" i="124" s="1"/>
  <c r="G15" i="124" s="1"/>
  <c r="G16" i="124" s="1"/>
  <c r="G17" i="124" s="1"/>
  <c r="G18" i="124" s="1"/>
  <c r="D21" i="124"/>
  <c r="E21" i="124"/>
  <c r="F21" i="124"/>
  <c r="G6" i="125"/>
  <c r="G7" i="125" s="1"/>
  <c r="G8" i="125" s="1"/>
  <c r="G9" i="125" s="1"/>
  <c r="G10" i="125" s="1"/>
  <c r="G11" i="125" s="1"/>
  <c r="G12" i="125" s="1"/>
  <c r="G13" i="125" s="1"/>
  <c r="G14" i="125" s="1"/>
  <c r="G15" i="125" s="1"/>
  <c r="G16" i="125" s="1"/>
  <c r="G17" i="125" s="1"/>
  <c r="G18" i="125" s="1"/>
  <c r="G19" i="125" s="1"/>
  <c r="G20" i="125" s="1"/>
  <c r="G21" i="125" s="1"/>
  <c r="D23" i="125"/>
  <c r="E23" i="125"/>
  <c r="F23" i="125"/>
  <c r="G7" i="123"/>
  <c r="G8" i="123" s="1"/>
  <c r="G9" i="123" s="1"/>
  <c r="G10" i="123" s="1"/>
  <c r="G11" i="123" s="1"/>
  <c r="G12" i="123" s="1"/>
  <c r="G13" i="123" s="1"/>
  <c r="G14" i="123" s="1"/>
  <c r="G20" i="123"/>
  <c r="G21" i="123"/>
  <c r="G22" i="123" s="1"/>
  <c r="G23" i="123" s="1"/>
  <c r="G24" i="123" s="1"/>
  <c r="G25" i="123" s="1"/>
  <c r="G26" i="123" s="1"/>
  <c r="G27" i="123" s="1"/>
  <c r="G28" i="123" s="1"/>
  <c r="D50" i="123"/>
  <c r="E50" i="123"/>
  <c r="F50" i="123"/>
  <c r="G8" i="114"/>
  <c r="G9" i="114" s="1"/>
  <c r="G10" i="114" s="1"/>
  <c r="G11" i="114" s="1"/>
  <c r="G12" i="114" s="1"/>
  <c r="G13" i="114" s="1"/>
  <c r="G14" i="114" s="1"/>
  <c r="G15" i="114" s="1"/>
  <c r="G16" i="114" s="1"/>
  <c r="G17" i="114" s="1"/>
  <c r="G18" i="114" s="1"/>
  <c r="G19" i="114" s="1"/>
  <c r="G20" i="114" s="1"/>
  <c r="G21" i="114" s="1"/>
  <c r="G22" i="114" s="1"/>
  <c r="G23" i="114" s="1"/>
  <c r="G24" i="114" s="1"/>
  <c r="G31" i="114"/>
  <c r="G32" i="114" s="1"/>
  <c r="G33" i="114" s="1"/>
  <c r="G34" i="114" s="1"/>
  <c r="G35" i="114" s="1"/>
  <c r="G36" i="114" s="1"/>
  <c r="G37" i="114" s="1"/>
  <c r="G38" i="114" s="1"/>
  <c r="G39" i="114" s="1"/>
  <c r="G40" i="114" s="1"/>
  <c r="G41" i="114" s="1"/>
  <c r="G42" i="114" s="1"/>
  <c r="G43" i="114" s="1"/>
  <c r="G45" i="114"/>
  <c r="G46" i="114" s="1"/>
  <c r="G47" i="114" s="1"/>
  <c r="G48" i="114" s="1"/>
  <c r="G49" i="114" s="1"/>
  <c r="G50" i="114" s="1"/>
  <c r="G51" i="114" s="1"/>
  <c r="G52" i="114" s="1"/>
  <c r="G53" i="114" s="1"/>
  <c r="G54" i="114" s="1"/>
  <c r="G55" i="114" s="1"/>
  <c r="G56" i="114" s="1"/>
  <c r="G57" i="114" s="1"/>
  <c r="G58" i="114" s="1"/>
  <c r="G59" i="114" s="1"/>
  <c r="G60" i="114" s="1"/>
  <c r="G64" i="114"/>
  <c r="G65" i="114" s="1"/>
  <c r="G66" i="114" s="1"/>
  <c r="G67" i="114" s="1"/>
  <c r="G68" i="114" s="1"/>
  <c r="G69" i="114" s="1"/>
  <c r="G70" i="114" s="1"/>
  <c r="G71" i="114" s="1"/>
  <c r="G81" i="114"/>
  <c r="G82" i="114" s="1"/>
  <c r="G83" i="114" s="1"/>
  <c r="G84" i="114" s="1"/>
  <c r="G85" i="114" s="1"/>
  <c r="G86" i="114" s="1"/>
  <c r="G87" i="114" s="1"/>
  <c r="G88" i="114" s="1"/>
  <c r="G89" i="114" s="1"/>
  <c r="G90" i="114" s="1"/>
  <c r="G91" i="114" s="1"/>
  <c r="G92" i="114" s="1"/>
  <c r="G93" i="114" s="1"/>
  <c r="D95" i="114"/>
  <c r="E95" i="114"/>
  <c r="F95" i="114"/>
  <c r="G8" i="110"/>
  <c r="G9" i="110" s="1"/>
  <c r="G10" i="110" s="1"/>
  <c r="G11" i="110" s="1"/>
  <c r="D29" i="110"/>
  <c r="E29" i="110"/>
  <c r="F29" i="110"/>
  <c r="G9" i="177"/>
  <c r="G11" i="177" s="1"/>
  <c r="G12" i="177" s="1"/>
  <c r="G13" i="177" s="1"/>
  <c r="G14" i="177" s="1"/>
  <c r="G15" i="177" s="1"/>
  <c r="G16" i="177" s="1"/>
  <c r="G17" i="177" s="1"/>
  <c r="G18" i="177" s="1"/>
  <c r="G20" i="177"/>
  <c r="G21" i="177" s="1"/>
  <c r="G22" i="177" s="1"/>
  <c r="G23" i="177" s="1"/>
  <c r="G25" i="177"/>
  <c r="G26" i="177" s="1"/>
  <c r="G27" i="177" s="1"/>
  <c r="G28" i="177" s="1"/>
  <c r="G29" i="177" s="1"/>
  <c r="G30" i="177" s="1"/>
  <c r="G31" i="177" s="1"/>
  <c r="G32" i="177" s="1"/>
  <c r="G33" i="177" s="1"/>
  <c r="G34" i="177" s="1"/>
  <c r="G35" i="177" s="1"/>
  <c r="G36" i="177" s="1"/>
  <c r="G37" i="177" s="1"/>
  <c r="G38" i="177" s="1"/>
  <c r="G39" i="177" s="1"/>
  <c r="G40" i="177" s="1"/>
  <c r="G41" i="177" s="1"/>
  <c r="G42" i="177" s="1"/>
  <c r="G43" i="177" s="1"/>
  <c r="G44" i="177" s="1"/>
  <c r="G45" i="177" s="1"/>
  <c r="G46" i="177" s="1"/>
  <c r="G47" i="177" s="1"/>
  <c r="D84" i="177"/>
  <c r="E84" i="177"/>
  <c r="F84" i="177"/>
  <c r="G7" i="178"/>
  <c r="G8" i="178" s="1"/>
  <c r="G9" i="178" s="1"/>
  <c r="G10" i="178" s="1"/>
  <c r="G11" i="178" s="1"/>
  <c r="G12" i="178" s="1"/>
  <c r="G13" i="178" s="1"/>
  <c r="G14" i="178" s="1"/>
  <c r="G15" i="178" s="1"/>
  <c r="G16" i="178" s="1"/>
  <c r="G17" i="178" s="1"/>
  <c r="G18" i="178" s="1"/>
  <c r="G19" i="178" s="1"/>
  <c r="G20" i="178" s="1"/>
  <c r="G21" i="178" s="1"/>
  <c r="G22" i="178" s="1"/>
  <c r="G23" i="178" s="1"/>
  <c r="G24" i="178" s="1"/>
  <c r="G25" i="178" s="1"/>
  <c r="G26" i="178" s="1"/>
  <c r="G27" i="178" s="1"/>
  <c r="G28" i="178" s="1"/>
  <c r="G29" i="178" s="1"/>
  <c r="G32" i="178"/>
  <c r="G33" i="178" s="1"/>
  <c r="G34" i="178" s="1"/>
  <c r="G35" i="178" s="1"/>
  <c r="G36" i="178" s="1"/>
  <c r="G37" i="178" s="1"/>
  <c r="G38" i="178" s="1"/>
  <c r="G39" i="178" s="1"/>
  <c r="G40" i="178" s="1"/>
  <c r="G41" i="178" s="1"/>
  <c r="G42" i="178" s="1"/>
  <c r="G43" i="178" s="1"/>
  <c r="G44" i="178" s="1"/>
  <c r="G45" i="178" s="1"/>
  <c r="G46" i="178" s="1"/>
  <c r="G47" i="178" s="1"/>
  <c r="G48" i="178" s="1"/>
  <c r="G49" i="178" s="1"/>
  <c r="G50" i="178" s="1"/>
  <c r="G51" i="178" s="1"/>
  <c r="G52" i="178" s="1"/>
  <c r="G53" i="178" s="1"/>
  <c r="G54" i="178" s="1"/>
  <c r="G55" i="178" s="1"/>
  <c r="G56" i="178" s="1"/>
  <c r="G62" i="178"/>
  <c r="G63" i="178" s="1"/>
  <c r="G64" i="178" s="1"/>
  <c r="G65" i="178" s="1"/>
  <c r="G66" i="178" s="1"/>
  <c r="G67" i="178" s="1"/>
  <c r="G69" i="178"/>
  <c r="G70" i="178" s="1"/>
  <c r="G71" i="178" s="1"/>
  <c r="G72" i="178" s="1"/>
  <c r="G73" i="178" s="1"/>
  <c r="G74" i="178" s="1"/>
  <c r="G75" i="178" s="1"/>
  <c r="G76" i="178" s="1"/>
  <c r="G77" i="178" s="1"/>
  <c r="G78" i="178" s="1"/>
  <c r="G79" i="178" s="1"/>
  <c r="G80" i="178" s="1"/>
  <c r="G81" i="178" s="1"/>
  <c r="G82" i="178" s="1"/>
  <c r="G83" i="178" s="1"/>
  <c r="G84" i="178" s="1"/>
  <c r="G85" i="178" s="1"/>
  <c r="G86" i="178" s="1"/>
  <c r="G92" i="178"/>
  <c r="G93" i="178" s="1"/>
  <c r="G94" i="178" s="1"/>
  <c r="G95" i="178" s="1"/>
  <c r="G96" i="178" s="1"/>
  <c r="G97" i="178" s="1"/>
  <c r="G98" i="178" s="1"/>
  <c r="G99" i="178" s="1"/>
  <c r="G100" i="178" s="1"/>
  <c r="G101" i="178" s="1"/>
  <c r="G102" i="178" s="1"/>
  <c r="G103" i="178" s="1"/>
  <c r="G104" i="178" s="1"/>
  <c r="G105" i="178" s="1"/>
  <c r="G106" i="178" s="1"/>
  <c r="G107" i="178" s="1"/>
  <c r="G108" i="178" s="1"/>
  <c r="G109" i="178" s="1"/>
  <c r="G110" i="178" s="1"/>
  <c r="G111" i="178" s="1"/>
  <c r="G112" i="178" s="1"/>
  <c r="G113" i="178" s="1"/>
  <c r="G114" i="178" s="1"/>
  <c r="G115" i="178" s="1"/>
  <c r="G116" i="178" s="1"/>
  <c r="G117" i="178" s="1"/>
  <c r="G118" i="178" s="1"/>
  <c r="G120" i="178"/>
  <c r="G121" i="178" s="1"/>
  <c r="G122" i="178" s="1"/>
  <c r="G123" i="178" s="1"/>
  <c r="G124" i="178" s="1"/>
  <c r="G125" i="178" s="1"/>
  <c r="G127" i="178"/>
  <c r="G128" i="178" s="1"/>
  <c r="G129" i="178" s="1"/>
  <c r="G130" i="178" s="1"/>
  <c r="G131" i="178" s="1"/>
  <c r="G132" i="178" s="1"/>
  <c r="G133" i="178" s="1"/>
  <c r="G134" i="178" s="1"/>
  <c r="G135" i="178" s="1"/>
  <c r="G136" i="178" s="1"/>
  <c r="G137" i="178" s="1"/>
  <c r="G138" i="178" s="1"/>
  <c r="G139" i="178" s="1"/>
  <c r="G230" i="178"/>
  <c r="G231" i="178" s="1"/>
  <c r="G232" i="178" s="1"/>
  <c r="G233" i="178" s="1"/>
  <c r="G234" i="178" s="1"/>
  <c r="G235" i="178" s="1"/>
  <c r="G236" i="178" s="1"/>
  <c r="G238" i="178"/>
  <c r="G239" i="178" s="1"/>
  <c r="G240" i="178" s="1"/>
  <c r="G241" i="178" s="1"/>
  <c r="G242" i="178" s="1"/>
  <c r="G243" i="178" s="1"/>
  <c r="G244" i="178" s="1"/>
  <c r="G245" i="178" s="1"/>
  <c r="G246" i="178" s="1"/>
  <c r="G247" i="178" s="1"/>
  <c r="G248" i="178" s="1"/>
  <c r="G249" i="178" s="1"/>
  <c r="G250" i="178" s="1"/>
  <c r="G251" i="178" s="1"/>
  <c r="G252" i="178" s="1"/>
  <c r="G253" i="178" s="1"/>
  <c r="G254" i="178" s="1"/>
  <c r="G256" i="178"/>
  <c r="G257" i="178" s="1"/>
  <c r="G258" i="178" s="1"/>
  <c r="G259" i="178" s="1"/>
  <c r="G260" i="178" s="1"/>
  <c r="G262" i="178"/>
  <c r="G263" i="178" s="1"/>
  <c r="G264" i="178" s="1"/>
  <c r="G265" i="178" s="1"/>
  <c r="G266" i="178" s="1"/>
  <c r="G267" i="178" s="1"/>
  <c r="G268" i="178" s="1"/>
  <c r="G269" i="178" s="1"/>
  <c r="G270" i="178" s="1"/>
  <c r="G271" i="178" s="1"/>
  <c r="G272" i="178" s="1"/>
  <c r="G273" i="178" s="1"/>
  <c r="G274" i="178" s="1"/>
  <c r="G275" i="178" s="1"/>
  <c r="G276" i="178" s="1"/>
  <c r="G277" i="178" s="1"/>
  <c r="G278" i="178" s="1"/>
  <c r="G279" i="178" s="1"/>
  <c r="G280" i="178" s="1"/>
  <c r="G281" i="178" s="1"/>
  <c r="E283" i="178"/>
  <c r="F283" i="178"/>
  <c r="G286" i="178"/>
  <c r="G287" i="178" s="1"/>
  <c r="G288" i="178" s="1"/>
  <c r="G289" i="178" s="1"/>
  <c r="G290" i="178" s="1"/>
  <c r="G291" i="178" s="1"/>
  <c r="G292" i="178" s="1"/>
  <c r="G293" i="178" s="1"/>
  <c r="G294" i="178" s="1"/>
  <c r="G295" i="178" s="1"/>
  <c r="G296" i="178" s="1"/>
  <c r="G297" i="178" s="1"/>
  <c r="G298" i="178" s="1"/>
  <c r="G299" i="178" s="1"/>
  <c r="G300" i="178" s="1"/>
  <c r="G301" i="178" s="1"/>
  <c r="G302" i="178" s="1"/>
  <c r="G303" i="178" s="1"/>
  <c r="G304" i="178" s="1"/>
  <c r="G305" i="178" s="1"/>
  <c r="G307" i="178"/>
  <c r="G308" i="178" s="1"/>
  <c r="G309" i="178" s="1"/>
  <c r="G310" i="178" s="1"/>
  <c r="G311" i="178" s="1"/>
  <c r="G312" i="178" s="1"/>
  <c r="G313" i="178" s="1"/>
  <c r="G314" i="178" s="1"/>
  <c r="G315" i="178" s="1"/>
  <c r="G316" i="178" s="1"/>
  <c r="G317" i="178" s="1"/>
  <c r="G318" i="178" s="1"/>
  <c r="G319" i="178" s="1"/>
  <c r="G320" i="178" s="1"/>
  <c r="G321" i="178" s="1"/>
  <c r="G322" i="178" s="1"/>
  <c r="G323" i="178" s="1"/>
  <c r="G324" i="178" s="1"/>
  <c r="G325" i="178" s="1"/>
  <c r="G326" i="178" s="1"/>
  <c r="G327" i="178" s="1"/>
  <c r="G328" i="178" s="1"/>
  <c r="G329" i="178" s="1"/>
  <c r="G330" i="178" s="1"/>
  <c r="G332" i="178"/>
  <c r="G333" i="178" s="1"/>
  <c r="G334" i="178" s="1"/>
  <c r="G335" i="178" s="1"/>
  <c r="G336" i="178" s="1"/>
  <c r="G337" i="178" s="1"/>
  <c r="G338" i="178" s="1"/>
  <c r="G339" i="178" s="1"/>
  <c r="G340" i="178" s="1"/>
  <c r="G341" i="178" s="1"/>
  <c r="G342" i="178" s="1"/>
  <c r="G343" i="178" s="1"/>
  <c r="G344" i="178" s="1"/>
  <c r="G345" i="178" s="1"/>
  <c r="G346" i="178" s="1"/>
  <c r="G347" i="178" s="1"/>
  <c r="G348" i="178" s="1"/>
  <c r="G349" i="178" s="1"/>
  <c r="G350" i="178" s="1"/>
  <c r="G351" i="178" s="1"/>
  <c r="G352" i="178" s="1"/>
  <c r="G353" i="178" s="1"/>
  <c r="G354" i="178" s="1"/>
  <c r="G357" i="178"/>
  <c r="G358" i="178" s="1"/>
  <c r="G359" i="178" s="1"/>
  <c r="G360" i="178" s="1"/>
  <c r="G361" i="178" s="1"/>
  <c r="G362" i="178" s="1"/>
  <c r="G363" i="178" s="1"/>
  <c r="G364" i="178" s="1"/>
  <c r="G365" i="178" s="1"/>
  <c r="G366" i="178" s="1"/>
  <c r="G367" i="178" s="1"/>
  <c r="G368" i="178" s="1"/>
  <c r="G369" i="178" s="1"/>
  <c r="G370" i="178" s="1"/>
  <c r="G371" i="178" s="1"/>
  <c r="G372" i="178" s="1"/>
  <c r="G373" i="178" s="1"/>
  <c r="G374" i="178" s="1"/>
  <c r="G375" i="178" s="1"/>
  <c r="G376" i="178" s="1"/>
  <c r="G377" i="178" s="1"/>
  <c r="G378" i="178" s="1"/>
  <c r="G379" i="178" s="1"/>
  <c r="G34" i="181"/>
  <c r="E20" i="195"/>
  <c r="G20" i="195" s="1"/>
  <c r="E65" i="176" l="1"/>
  <c r="G65" i="176" s="1"/>
  <c r="G31" i="176"/>
  <c r="E82" i="181"/>
  <c r="G8" i="181"/>
  <c r="G21" i="182"/>
  <c r="E218" i="182"/>
  <c r="G15" i="186"/>
  <c r="G16" i="186" s="1"/>
  <c r="G17" i="186" s="1"/>
  <c r="G18" i="186" s="1"/>
  <c r="G12" i="110"/>
  <c r="G13" i="110" s="1"/>
  <c r="G14" i="110" s="1"/>
  <c r="G15" i="110" s="1"/>
  <c r="G16" i="110" s="1"/>
  <c r="G17" i="110" s="1"/>
  <c r="G18" i="110" s="1"/>
  <c r="G19" i="110" s="1"/>
  <c r="G20" i="110" s="1"/>
  <c r="G21" i="110" s="1"/>
  <c r="G22" i="110" s="1"/>
  <c r="G23" i="110" s="1"/>
  <c r="G24" i="110" s="1"/>
  <c r="G25" i="110" s="1"/>
  <c r="G25" i="180"/>
  <c r="G87" i="178"/>
  <c r="G88" i="178" s="1"/>
  <c r="G89" i="178" s="1"/>
  <c r="G90" i="178" s="1"/>
  <c r="G21" i="189"/>
  <c r="G22" i="189" s="1"/>
  <c r="G23" i="189" s="1"/>
  <c r="G24" i="189" s="1"/>
  <c r="G25" i="189" s="1"/>
  <c r="G26" i="189" s="1"/>
  <c r="G48" i="177"/>
  <c r="G44" i="184"/>
  <c r="G22" i="175"/>
  <c r="G7" i="175"/>
  <c r="G12" i="175"/>
  <c r="G61" i="175"/>
  <c r="G30" i="178"/>
  <c r="G396" i="178"/>
  <c r="G33" i="192"/>
  <c r="F397" i="178"/>
  <c r="G283" i="178"/>
  <c r="G84" i="177"/>
  <c r="G72" i="114"/>
  <c r="G73" i="114" s="1"/>
  <c r="G74" i="114" s="1"/>
  <c r="G75" i="114" s="1"/>
  <c r="G76" i="114" s="1"/>
  <c r="G77" i="114" s="1"/>
  <c r="G78" i="114" s="1"/>
  <c r="G79" i="114" s="1"/>
  <c r="G25" i="114"/>
  <c r="G26" i="114" s="1"/>
  <c r="G27" i="114" s="1"/>
  <c r="G28" i="114" s="1"/>
  <c r="G43" i="189"/>
  <c r="G26" i="127"/>
  <c r="G201" i="194"/>
  <c r="G46" i="18"/>
  <c r="F23" i="1"/>
  <c r="G82" i="181"/>
  <c r="D189" i="185"/>
  <c r="G111" i="175"/>
  <c r="G23" i="125"/>
  <c r="G43" i="187"/>
  <c r="G29" i="110"/>
  <c r="F23" i="173"/>
  <c r="G75" i="193"/>
  <c r="D397" i="178"/>
  <c r="G27" i="179"/>
  <c r="G23" i="1"/>
  <c r="G29" i="176"/>
  <c r="G33" i="176"/>
  <c r="G35" i="190"/>
  <c r="E397" i="178"/>
  <c r="G140" i="178"/>
  <c r="G141" i="178" s="1"/>
  <c r="G142" i="178" s="1"/>
  <c r="G143" i="178" s="1"/>
  <c r="G144" i="178" s="1"/>
  <c r="G145" i="178" s="1"/>
  <c r="G146" i="178" s="1"/>
  <c r="G147" i="178" s="1"/>
  <c r="G148" i="178" s="1"/>
  <c r="G149" i="178" s="1"/>
  <c r="G150" i="178" s="1"/>
  <c r="G151" i="178" s="1"/>
  <c r="L35" i="114"/>
  <c r="G50" i="123"/>
  <c r="G95" i="114"/>
  <c r="G94" i="184"/>
  <c r="G218" i="182"/>
  <c r="G21" i="124"/>
  <c r="G31" i="186"/>
  <c r="G37" i="176"/>
  <c r="G23" i="173"/>
  <c r="J28" i="114" l="1"/>
  <c r="J35" i="114" s="1"/>
  <c r="G29" i="114"/>
  <c r="G397" i="178"/>
  <c r="G152" i="178"/>
  <c r="G153" i="178" s="1"/>
  <c r="G154" i="178" s="1"/>
  <c r="G155" i="178" s="1"/>
  <c r="G156" i="178" s="1"/>
  <c r="G157" i="178" s="1"/>
  <c r="G158" i="178" s="1"/>
  <c r="G159" i="178" s="1"/>
  <c r="G160" i="178" s="1"/>
  <c r="G161" i="178" s="1"/>
  <c r="G162" i="178" s="1"/>
  <c r="G163" i="178" s="1"/>
  <c r="G164" i="178" s="1"/>
  <c r="G165" i="178" s="1"/>
  <c r="G166" i="178" s="1"/>
  <c r="G167" i="178" s="1"/>
  <c r="G168" i="178" s="1"/>
  <c r="G169" i="178" s="1"/>
  <c r="G170" i="178" s="1"/>
  <c r="G171" i="178" s="1"/>
  <c r="G172" i="178" s="1"/>
  <c r="G173" i="178" s="1"/>
  <c r="G174" i="178" s="1"/>
  <c r="G175" i="178" s="1"/>
  <c r="G176" i="178" s="1"/>
  <c r="G177" i="178" s="1"/>
  <c r="G178" i="178" s="1"/>
  <c r="G179" i="178" s="1"/>
  <c r="G180" i="178" s="1"/>
  <c r="G181" i="178" s="1"/>
  <c r="G182" i="178" s="1"/>
  <c r="G183" i="178" s="1"/>
  <c r="G184" i="178" s="1"/>
  <c r="G185" i="178" s="1"/>
  <c r="G186" i="178" s="1"/>
  <c r="G187" i="178" s="1"/>
  <c r="G188" i="178" s="1"/>
  <c r="G189" i="178" s="1"/>
  <c r="G190" i="178" s="1"/>
  <c r="G191" i="178" s="1"/>
  <c r="G192" i="178" s="1"/>
  <c r="G193" i="178" s="1"/>
  <c r="G194" i="178" s="1"/>
  <c r="G195" i="178" s="1"/>
  <c r="G196" i="178" s="1"/>
  <c r="G197" i="178" s="1"/>
  <c r="G198" i="178" s="1"/>
  <c r="G199" i="178" s="1"/>
  <c r="G200" i="178" s="1"/>
  <c r="G201" i="178" s="1"/>
  <c r="G202" i="178" s="1"/>
  <c r="G203" i="178" s="1"/>
  <c r="G204" i="178" s="1"/>
  <c r="G205" i="178" s="1"/>
  <c r="G206" i="178" s="1"/>
  <c r="G207" i="178" s="1"/>
  <c r="G208" i="178" s="1"/>
  <c r="G209" i="178" s="1"/>
  <c r="G210" i="178" s="1"/>
  <c r="G211" i="178" s="1"/>
  <c r="G212" i="178" s="1"/>
  <c r="G213" i="178" s="1"/>
  <c r="G214" i="178" s="1"/>
  <c r="G215" i="178" s="1"/>
  <c r="G216" i="178" l="1"/>
  <c r="G217" i="178" s="1"/>
  <c r="G218" i="178" s="1"/>
  <c r="G219" i="178" s="1"/>
  <c r="G220" i="178" s="1"/>
  <c r="G221" i="178" s="1"/>
  <c r="G222" i="178" s="1"/>
  <c r="G223" i="178" s="1"/>
  <c r="G224" i="178" s="1"/>
  <c r="G225" i="178" s="1"/>
  <c r="G226" i="178" s="1"/>
  <c r="G227" i="178" s="1"/>
  <c r="G228" i="178" s="1"/>
</calcChain>
</file>

<file path=xl/sharedStrings.xml><?xml version="1.0" encoding="utf-8"?>
<sst xmlns="http://schemas.openxmlformats.org/spreadsheetml/2006/main" count="7136" uniqueCount="2968">
  <si>
    <t>ประจำงวด</t>
  </si>
  <si>
    <t>เบิก</t>
  </si>
  <si>
    <t>คงเหลือ</t>
  </si>
  <si>
    <t>หมายเหตุ</t>
  </si>
  <si>
    <t>รายการ</t>
  </si>
  <si>
    <t>งบดำเนินงาน</t>
  </si>
  <si>
    <t>รวม</t>
  </si>
  <si>
    <t xml:space="preserve"> </t>
  </si>
  <si>
    <t>ที่</t>
  </si>
  <si>
    <t>งบประมาณ</t>
  </si>
  <si>
    <t>ร้อยละ</t>
  </si>
  <si>
    <t>การเบิกจ่าย</t>
  </si>
  <si>
    <t>ที่เอกสาร</t>
  </si>
  <si>
    <t>สพป.เพชรบูรณ์  เขต  3</t>
  </si>
  <si>
    <t xml:space="preserve">                                                    สำนักงานเขตพื้นที่การศึกษาประถมศึกษาเพชรบูรณ์ เขต 3</t>
  </si>
  <si>
    <t>เงิน</t>
  </si>
  <si>
    <t xml:space="preserve"> ว.ด.ป.</t>
  </si>
  <si>
    <t>ผู้รับผิดชอบ</t>
  </si>
  <si>
    <t>ศน.ปัณณธร</t>
  </si>
  <si>
    <t>สุระศักดิ์</t>
  </si>
  <si>
    <t>รวมทั้ง1-5</t>
  </si>
  <si>
    <t xml:space="preserve">                     รัฐบาลกำหนดเป้าหมายการเบิกจ่าย  ณ  สิ้นแต่ละไตรมาส    ดังนี้</t>
  </si>
  <si>
    <t>รายจ่ายงบลงทุน</t>
  </si>
  <si>
    <t>ศน.เสาวภา</t>
  </si>
  <si>
    <t>ศน.พัชรินทร์</t>
  </si>
  <si>
    <t>เงินอนุมัติ</t>
  </si>
  <si>
    <t>ก่อหนี้ผูกพัน</t>
  </si>
  <si>
    <t>( PO )</t>
  </si>
  <si>
    <t>บ้านสามัคคีพัฒนา</t>
  </si>
  <si>
    <t>บ้านเขาสูงราษฎร์บำรุง</t>
  </si>
  <si>
    <t>รัฐประชานุสรณ์</t>
  </si>
  <si>
    <t>บ้านซับสามัคคี</t>
  </si>
  <si>
    <t>ศน.</t>
  </si>
  <si>
    <t>PO</t>
  </si>
  <si>
    <t>ในมือ</t>
  </si>
  <si>
    <t>Po</t>
  </si>
  <si>
    <t>PO/</t>
  </si>
  <si>
    <t>ประชา</t>
  </si>
  <si>
    <t>ชุมชนบ้านโคกสะอาด</t>
  </si>
  <si>
    <t>ลำดับที่</t>
  </si>
  <si>
    <t>รวมเงิน</t>
  </si>
  <si>
    <t>เบิกจ่าย</t>
  </si>
  <si>
    <t>รร.อนุบาลศรีเทพ</t>
  </si>
  <si>
    <t>รร.บ้านซับไม้แดง</t>
  </si>
  <si>
    <t>รร.บ้านรวมทรัพย์</t>
  </si>
  <si>
    <t>รร.บ้านบึงสามพัน</t>
  </si>
  <si>
    <t>รร.บ้านโคกรังน้อย</t>
  </si>
  <si>
    <t>บ้านหนองกระทุ่ม</t>
  </si>
  <si>
    <t>บ้านฟุบสะแก</t>
  </si>
  <si>
    <t>บ้านหนองสะแก</t>
  </si>
  <si>
    <t>บ้านซับกระโซ่</t>
  </si>
  <si>
    <t>บ้านแสงมณีวิทยา</t>
  </si>
  <si>
    <t>บ้านหนองสะแกสี่</t>
  </si>
  <si>
    <t>บ้านหนองสรวง</t>
  </si>
  <si>
    <t>บ้านท่าไม้ทอง</t>
  </si>
  <si>
    <t>บ้านวังขาม</t>
  </si>
  <si>
    <t>บ้านพงษ์เพชรอนุสรณ์</t>
  </si>
  <si>
    <t>ชุมชนบ้านท่าเสา</t>
  </si>
  <si>
    <t>บ้านตะกุดงาม</t>
  </si>
  <si>
    <t>บ้านคลองยาง</t>
  </si>
  <si>
    <t>บ้านคลองกรวด</t>
  </si>
  <si>
    <t>บ้านเนินสมบูรณ์</t>
  </si>
  <si>
    <t>บ้านบึงสามพัน</t>
  </si>
  <si>
    <t>บ้านซับสมพงษ์</t>
  </si>
  <si>
    <t>บ้านกันจุ</t>
  </si>
  <si>
    <t>บ้านโคกรังน้อย</t>
  </si>
  <si>
    <t>บ้านปากตก</t>
  </si>
  <si>
    <t>ชุมชนบ้านวังพิกุล</t>
  </si>
  <si>
    <t>ชุมชนบ้านพุเตย</t>
  </si>
  <si>
    <t>บ้านบ่อรัง</t>
  </si>
  <si>
    <t>บ้านพุขาม</t>
  </si>
  <si>
    <t>บ้านรวมทรัพย์</t>
  </si>
  <si>
    <t>บ้านศรีมงคล</t>
  </si>
  <si>
    <t>บ้านเขาพลวง</t>
  </si>
  <si>
    <t>บ้านห้วยทราย</t>
  </si>
  <si>
    <t>บ้านคลองตะคร้อ</t>
  </si>
  <si>
    <t>บ้านทรัพย์เกษตร</t>
  </si>
  <si>
    <t>บ้านลำตะคร้อ</t>
  </si>
  <si>
    <t>บ้านโป่งบุญเจริญ</t>
  </si>
  <si>
    <t>บ้านซับไม้แดง</t>
  </si>
  <si>
    <t>อนุบาลบึงสามพัน</t>
  </si>
  <si>
    <t>บ้านท่าโรง</t>
  </si>
  <si>
    <t>บ้านโพทะเลประชาสรรค์</t>
  </si>
  <si>
    <t>บ้านวังลึก</t>
  </si>
  <si>
    <t>บ้านซับน้อย</t>
  </si>
  <si>
    <t>บ้านหนองบัวทอง</t>
  </si>
  <si>
    <t>บ้านคลองดู่</t>
  </si>
  <si>
    <t>บ้านเนินถาวร</t>
  </si>
  <si>
    <t>บ้านนาเฉลียงใต้</t>
  </si>
  <si>
    <t>บ้านสระเกษ</t>
  </si>
  <si>
    <t>บ้านสันเจริญโป่งสะทอน</t>
  </si>
  <si>
    <t>บ้านกองทูล</t>
  </si>
  <si>
    <t>บ้านท่าด้วง</t>
  </si>
  <si>
    <t>บ้านสระกรวด</t>
  </si>
  <si>
    <t>บ้านทุ่งใหญ่</t>
  </si>
  <si>
    <t>บ้านวังไผ่</t>
  </si>
  <si>
    <t>บ้านด่านไทรสามัคคี</t>
  </si>
  <si>
    <t>บ้านหนองจอกวังกำแพง</t>
  </si>
  <si>
    <t>บ้านเนินคนธา</t>
  </si>
  <si>
    <t>บ้านท่าเยี่ยม</t>
  </si>
  <si>
    <t>บ้านโคกเจริญ</t>
  </si>
  <si>
    <t>วัดเขาเจริญธรรม</t>
  </si>
  <si>
    <t>บ้านเนินสะอาด</t>
  </si>
  <si>
    <t>บ้านโคกกรวด</t>
  </si>
  <si>
    <t>บ้านบึงนาจาน</t>
  </si>
  <si>
    <t>รร.บ้านท่าด้วง</t>
  </si>
  <si>
    <t>ศน.ปาริชาติ</t>
  </si>
  <si>
    <t xml:space="preserve"> รวมทั้งสิ้น</t>
  </si>
  <si>
    <t>ซับสวัสดิ์</t>
  </si>
  <si>
    <t>น้ำเดือด</t>
  </si>
  <si>
    <t>มาบสมอสามัคคี</t>
  </si>
  <si>
    <t>ซับหินเพลิง</t>
  </si>
  <si>
    <t>นาสนุ่น</t>
  </si>
  <si>
    <t>น้ำเขียว</t>
  </si>
  <si>
    <t>เนินพัฒนา</t>
  </si>
  <si>
    <t>เฉลียงทอง</t>
  </si>
  <si>
    <t>ไร่ขอนยางขวาง</t>
  </si>
  <si>
    <t>ท่าเยี่ยม</t>
  </si>
  <si>
    <t>ป่าคาย</t>
  </si>
  <si>
    <t>สระแก้ว</t>
  </si>
  <si>
    <t>รร.อนุบาลบึงสามพัน</t>
  </si>
  <si>
    <t>.</t>
  </si>
  <si>
    <t>งบบุคลากร  (พนักงานราชการ)</t>
  </si>
  <si>
    <t>ในมือ/</t>
  </si>
  <si>
    <t>รร.บ้านสระประดู่</t>
  </si>
  <si>
    <t>รร.ชุมชนบ้านวังพิกุล</t>
  </si>
  <si>
    <t>รร.บ้านหนองบัว</t>
  </si>
  <si>
    <t xml:space="preserve">                                           สำนักงานเขตพื้นที่การศึกษาเพชรบูรณ์ เขต 3</t>
  </si>
  <si>
    <t>งบประจำ</t>
  </si>
  <si>
    <t>รายการงบประจำ</t>
  </si>
  <si>
    <t xml:space="preserve"> 1.ค่าซ่อมแซมครุภัณฑ์</t>
  </si>
  <si>
    <t>สมหมาย</t>
  </si>
  <si>
    <t>12.2 ค่าไฟฟ้า</t>
  </si>
  <si>
    <t>12.3 ค่าไปรษณีย์</t>
  </si>
  <si>
    <t>ค่าตอบแทนพนักงานราชการ</t>
  </si>
  <si>
    <t>ค่าตอบแทนพนง.  ครั้งที่ 1</t>
  </si>
  <si>
    <t>12.4 ค่าโทรศัพท์</t>
  </si>
  <si>
    <t xml:space="preserve">   8.ค่าซ่อมแซมสิ่งก่อสร้าง</t>
  </si>
  <si>
    <t xml:space="preserve">  9.ค่าจ้างถ่ายเอกสาร</t>
  </si>
  <si>
    <t xml:space="preserve">  10.ค่าประกันภัยรถยนต์</t>
  </si>
  <si>
    <t xml:space="preserve">  12. ค่าสาธารณูปโภค</t>
  </si>
  <si>
    <t xml:space="preserve">   7.ค่าเบี้ยเลี้ยง+พาหนะ</t>
  </si>
  <si>
    <t>ค่าจ้างฯ</t>
  </si>
  <si>
    <t>ค่าตอบแทนฯ</t>
  </si>
  <si>
    <t>12.1 ค่าประปา</t>
  </si>
  <si>
    <t xml:space="preserve"> ประกันสังคม พนง.ราชการ ค.1</t>
  </si>
  <si>
    <t>ค่าเช่าบ้าน ครั้งที่ 1</t>
  </si>
  <si>
    <t>ค่าจ้างเวรยาม/แม่บ้าน พิมพ์ดีด  ค.1</t>
  </si>
  <si>
    <t>ค่าจ้างนักการปกติ ค.1</t>
  </si>
  <si>
    <t>19 กค.</t>
  </si>
  <si>
    <t xml:space="preserve">                                       ยอดรวม   </t>
  </si>
  <si>
    <t>ชุมชนพุเตย</t>
  </si>
  <si>
    <t>พุขาม</t>
  </si>
  <si>
    <t>หนองคล้า</t>
  </si>
  <si>
    <t>พรหมยาม</t>
  </si>
  <si>
    <t>ไร่ตาพุฒ</t>
  </si>
  <si>
    <t>( PO/ ค้างในมือ)</t>
  </si>
  <si>
    <t>สรุปรายการเงินงบกลยุทธ์โครงการ</t>
  </si>
  <si>
    <t>ค่าจ้าง เขต 9 ราย  ครั้งที่ 1</t>
  </si>
  <si>
    <t xml:space="preserve">                                สำนักงานเขตพื้นที่การศึกษาเพชรบูรณ์ เขต 3                                                      งบเงินอุดหนุน</t>
  </si>
  <si>
    <t>รหัส 39002</t>
  </si>
  <si>
    <t>กิจกรรม</t>
  </si>
  <si>
    <t>N3104</t>
  </si>
  <si>
    <t>รหัส 39001</t>
  </si>
  <si>
    <t>N3102</t>
  </si>
  <si>
    <t>รหัส 38008</t>
  </si>
  <si>
    <t>ก.ก.</t>
  </si>
  <si>
    <t>N3101</t>
  </si>
  <si>
    <t>25 ตค.61</t>
  </si>
  <si>
    <t>ว. 3732</t>
  </si>
  <si>
    <t>ว.4957</t>
  </si>
  <si>
    <t>จันทร์ทิพย์</t>
  </si>
  <si>
    <t>ว.4938</t>
  </si>
  <si>
    <t>ค่าจ้างครูพี่เลี้ยงเด็กพิการ ค.1</t>
  </si>
  <si>
    <t>รหัส 39004</t>
  </si>
  <si>
    <t xml:space="preserve">            ด.ด.</t>
  </si>
  <si>
    <t>N 3101</t>
  </si>
  <si>
    <t>รร.บ้านซับน้อย</t>
  </si>
  <si>
    <t>รร.บ้านสระเกษ</t>
  </si>
  <si>
    <t>รร.บ้านวังลึก</t>
  </si>
  <si>
    <t>เบิกค่าวัสดุ</t>
  </si>
  <si>
    <t xml:space="preserve"> 2.ค่าวัสดุสำนักงาน</t>
  </si>
  <si>
    <t xml:space="preserve"> 3.ค่าซ่อมแอร์</t>
  </si>
  <si>
    <t xml:space="preserve"> 4.ค่าน้ำมันเชื้อเพลิง</t>
  </si>
  <si>
    <t xml:space="preserve"> 5.ค่าซ่อมรถฯ</t>
  </si>
  <si>
    <t xml:space="preserve"> 6.ค่าเบี้ยประชุมกรรมการ กตปน.</t>
  </si>
  <si>
    <t>รายงการบริหารงบประมาณประจำปีงบประมาณ 2562</t>
  </si>
  <si>
    <t>เบิกเงิน</t>
  </si>
  <si>
    <t>30 ตค.61</t>
  </si>
  <si>
    <t>ว.5019</t>
  </si>
  <si>
    <t>31 ตค.61</t>
  </si>
  <si>
    <t xml:space="preserve"> ว 5068</t>
  </si>
  <si>
    <t>รหัส 33061</t>
  </si>
  <si>
    <t>ว. 5095</t>
  </si>
  <si>
    <t>ค่าตอบแทนครูผู้ทรงคุณค่าฯ  ค.1</t>
  </si>
  <si>
    <t>ว.5065</t>
  </si>
  <si>
    <t>13 พย.61</t>
  </si>
  <si>
    <t>ว.5213</t>
  </si>
  <si>
    <t>14 พย.61</t>
  </si>
  <si>
    <t>ว 5210</t>
  </si>
  <si>
    <t xml:space="preserve">  (จ้างธุรการ เดือนละ 15,000.-)</t>
  </si>
  <si>
    <t>ค่าจ้างธุรการ   ครั้งที่ 1</t>
  </si>
  <si>
    <t>ค่าจ้างธุรการ   ครั้งที่ 2</t>
  </si>
  <si>
    <t>ว.5209</t>
  </si>
  <si>
    <t>ค่าจ้างธุรการ  เดือนละ 9,000.-</t>
  </si>
  <si>
    <t>ค่าจ้างครูขั้นวิกฤต   ครั้งที่ 1</t>
  </si>
  <si>
    <t>12 พย.61</t>
  </si>
  <si>
    <t>ว 5151</t>
  </si>
  <si>
    <t xml:space="preserve">  ร.32031</t>
  </si>
  <si>
    <t>รายงานผลการบริหารงบประมาณประจำปีงบประมาณ 2562</t>
  </si>
  <si>
    <t>12 พย 61</t>
  </si>
  <si>
    <t>ว.5184</t>
  </si>
  <si>
    <t>คชจ.เดินทางประชุมการจัดทำแผนการทดสอบฯ</t>
  </si>
  <si>
    <t>7 พย.61</t>
  </si>
  <si>
    <t>ว 5123</t>
  </si>
  <si>
    <t>เงินอุดหนุนภาคเรียน 2/61 (70%)</t>
  </si>
  <si>
    <t>กิจกรรมพัฒนาคุณภาพผู้เรียน</t>
  </si>
  <si>
    <t>ค่าจัดการเรียนการสอน</t>
  </si>
  <si>
    <t xml:space="preserve">  ร.33061</t>
  </si>
  <si>
    <t>ว.5216</t>
  </si>
  <si>
    <t>ค่าซ่อมบำรุงอุปกรณ์ DLTV</t>
  </si>
  <si>
    <t>22 พย.61</t>
  </si>
  <si>
    <t>ว 5383</t>
  </si>
  <si>
    <t>ไอ.13</t>
  </si>
  <si>
    <t>เบิกของ เดือน ตค.61</t>
  </si>
  <si>
    <t>ฎ.38</t>
  </si>
  <si>
    <t>เบิกของเดือน ตค.61</t>
  </si>
  <si>
    <t>ฎ.36</t>
  </si>
  <si>
    <t>เงินยืม สมหมาย</t>
  </si>
  <si>
    <t>8 พย.61</t>
  </si>
  <si>
    <t>พี.30</t>
  </si>
  <si>
    <t>เบิกค่าพวงมาลาวันปิยะฯ</t>
  </si>
  <si>
    <t>ฎ.46</t>
  </si>
  <si>
    <t>ค่าเดินทาง รองหมาย+อภิรดี</t>
  </si>
  <si>
    <t>ฎ.50</t>
  </si>
  <si>
    <t>ฎ.49</t>
  </si>
  <si>
    <t>ฎ.48</t>
  </si>
  <si>
    <t>ค่าเดินทาง อกก ร.ร.วันเปิดเทอม</t>
  </si>
  <si>
    <t>ฎ.55</t>
  </si>
  <si>
    <t>เบิกซ่อมปริ้นเตอร์</t>
  </si>
  <si>
    <t>เงินยืม สุกันยา</t>
  </si>
  <si>
    <t>ไอ.20</t>
  </si>
  <si>
    <t>ซ่อมรถ นข.1317</t>
  </si>
  <si>
    <t>ไอ.21</t>
  </si>
  <si>
    <t>ซ่อมรถ นข.2394</t>
  </si>
  <si>
    <t>ฎ.41</t>
  </si>
  <si>
    <t>เบิกเดือน ตค.61</t>
  </si>
  <si>
    <t>ฎ.47</t>
  </si>
  <si>
    <t>ฎ.67</t>
  </si>
  <si>
    <t>16 พย.61</t>
  </si>
  <si>
    <t>เงินยืมศิลปะฯ  ศน.กัญจนา</t>
  </si>
  <si>
    <t>ฎ.56</t>
  </si>
  <si>
    <t>ฎ.73</t>
  </si>
  <si>
    <t>ค่าเดินทาง ธีรพงศ์</t>
  </si>
  <si>
    <t>20 พย.61</t>
  </si>
  <si>
    <t>เบิกของ ตค.- พย.61</t>
  </si>
  <si>
    <t>ฎ.74</t>
  </si>
  <si>
    <t>ฎ.75</t>
  </si>
  <si>
    <t>ค่าเดินทาง สุกันยา</t>
  </si>
  <si>
    <t>ไอ.23</t>
  </si>
  <si>
    <t>ค่าเช่าเน็ต ตค.61</t>
  </si>
  <si>
    <t>คก.230020</t>
  </si>
  <si>
    <t>คชจ.ประชุมสภากาแฟ</t>
  </si>
  <si>
    <t>ค่าเดินทาง อกก ร.ร.วันเปิดเทอม 11 ราย</t>
  </si>
  <si>
    <t>ฎ.81</t>
  </si>
  <si>
    <t>ฎ.71</t>
  </si>
  <si>
    <t>21 พย.61</t>
  </si>
  <si>
    <t>ฎ.77</t>
  </si>
  <si>
    <t>ฎ.69</t>
  </si>
  <si>
    <t>ฎ.68</t>
  </si>
  <si>
    <t>ฎ.70</t>
  </si>
  <si>
    <t>ฎ.72</t>
  </si>
  <si>
    <t>ฎ.82</t>
  </si>
  <si>
    <t>ฎ.83</t>
  </si>
  <si>
    <t>ฎ.85</t>
  </si>
  <si>
    <t>23 พย.61</t>
  </si>
  <si>
    <t>เงินยืม ประชุม ผอ.รร.</t>
  </si>
  <si>
    <t>ฎ.86</t>
  </si>
  <si>
    <t>ค่าเดินทาง อัมพร</t>
  </si>
  <si>
    <t>ฎ.87</t>
  </si>
  <si>
    <t>ค่าวัสดุ ศิลปะฯ</t>
  </si>
  <si>
    <t>27 พย.61</t>
  </si>
  <si>
    <t>ไอ.26</t>
  </si>
  <si>
    <t>ไอ.29</t>
  </si>
  <si>
    <t>เบิกซ่อมปริ้นเตอร์ 2 เครื่อง</t>
  </si>
  <si>
    <t>งบเงินอุดหนุน</t>
  </si>
  <si>
    <t>ตสน.</t>
  </si>
  <si>
    <t>ว 5556</t>
  </si>
  <si>
    <t>ค่าเดินทางประชุม ผู้ตรวจสอบภายใน</t>
  </si>
  <si>
    <t>ว 5458</t>
  </si>
  <si>
    <t>โครงการมหกรรมทางศิลปหัตถกรรมวิชาการ ปี2561</t>
  </si>
  <si>
    <t>ศน.กัญจนา</t>
  </si>
  <si>
    <t>โครงการนิเทศ ติดตามเพื่อพัฒนาคุณภาพการศึกษา</t>
  </si>
  <si>
    <t>โครงการเทิดทูนสถาบัน วันสำคัญ/ประเพณีไทย</t>
  </si>
  <si>
    <t>โครงการขับเคลื่อนพัฒนาประสิทธิภาพบริหารจัดการ</t>
  </si>
  <si>
    <t>ขอสนับสนุนจัดกิจกรรมการรับชมภาพยนต์วิทยาศาสตร์</t>
  </si>
  <si>
    <t>ศน.ปิยะวรรณ์</t>
  </si>
  <si>
    <t>ศิริพรรณ</t>
  </si>
  <si>
    <t>สิทธิกร</t>
  </si>
  <si>
    <t xml:space="preserve">                                ยอดเหลือจากจัดสรร</t>
  </si>
  <si>
    <t>โครงการพัฒนาและนำนโยบายการจัดการศึกษาสู่</t>
  </si>
  <si>
    <t>การปฏิบัติ สพป.พช.3</t>
  </si>
  <si>
    <t>ก.แผน/คนึง</t>
  </si>
  <si>
    <t>โครงการบริหารจัดการงานด้านบริหารบุคคล</t>
  </si>
  <si>
    <t>ปัทมาภรณ์</t>
  </si>
  <si>
    <t>โครงการเพิ่มประสิทธิภาพบริหารจัดการ สพป.พช.3</t>
  </si>
  <si>
    <t>อัจฉรา</t>
  </si>
  <si>
    <t>คชจ.ประชุม ก่อสร้าง ร.ร.</t>
  </si>
  <si>
    <t>ฎ.102</t>
  </si>
  <si>
    <t>ค่าเดินทางอบรมโภชนาการ อายิโนะโมะโต๊ะ</t>
  </si>
  <si>
    <t>ว 5542</t>
  </si>
  <si>
    <t>30 พย.61</t>
  </si>
  <si>
    <t xml:space="preserve">  ร.33062</t>
  </si>
  <si>
    <t>30 พย 61</t>
  </si>
  <si>
    <t>ว.5547</t>
  </si>
  <si>
    <t>ค่าเดินทางประชุมทีมเคลื่อนที่เร็ว (Roving Team)</t>
  </si>
  <si>
    <t>นิเทศฯ</t>
  </si>
  <si>
    <t>6 ธค.61</t>
  </si>
  <si>
    <t>ว 5603</t>
  </si>
  <si>
    <t>การรับนักเรียน ปี 2562</t>
  </si>
  <si>
    <t>โครงการเพิ่มประสิทธิภาพการบริหารสู่การบริการที่</t>
  </si>
  <si>
    <t>ผอ.ปาริชาติ</t>
  </si>
  <si>
    <t>โครงการประชาสัมพันธ์หน่วยงาน</t>
  </si>
  <si>
    <t>จุฑารัตน์</t>
  </si>
  <si>
    <t>ค่าจ้างครูวิทย์-คณิต   ครั้งที่ 1</t>
  </si>
  <si>
    <t>ฎ.105</t>
  </si>
  <si>
    <t>4 ธค.61</t>
  </si>
  <si>
    <t>ฎ.106</t>
  </si>
  <si>
    <t>เบิก 3 ราย</t>
  </si>
  <si>
    <t>ไอ.31</t>
  </si>
  <si>
    <t>ค่าป้ายไวนิล</t>
  </si>
  <si>
    <t>ซ่อมรถ กฉ.4701</t>
  </si>
  <si>
    <t>ไอ.32</t>
  </si>
  <si>
    <t>ฎ.107</t>
  </si>
  <si>
    <t>เบิกของเดือน พย.61</t>
  </si>
  <si>
    <t>ไอ.34</t>
  </si>
  <si>
    <t>ค่าถ่ายเอกสาร ศิลปะฯ</t>
  </si>
  <si>
    <t>คชจ.ประชุม อินเทอร์เน็ต ร.ร.</t>
  </si>
  <si>
    <t>ฎ.113</t>
  </si>
  <si>
    <t>7 ธค.61</t>
  </si>
  <si>
    <t>ฎ.114</t>
  </si>
  <si>
    <t>ฎ.112</t>
  </si>
  <si>
    <t>เบิกค่าประชุม 31 ตค. ปาริชาติ</t>
  </si>
  <si>
    <t>ฎ.110</t>
  </si>
  <si>
    <t>ค่าเดินทาง กิตติกาญจน์</t>
  </si>
  <si>
    <t>เบิก ของ พย.61</t>
  </si>
  <si>
    <t>พี.84</t>
  </si>
  <si>
    <t>ไอ.36</t>
  </si>
  <si>
    <t>เบิกเดือน พย.61</t>
  </si>
  <si>
    <t>ไอ.37</t>
  </si>
  <si>
    <t>เบิกของ เดือน พย.61</t>
  </si>
  <si>
    <t>ค่าจ้างนักการปกติ ค.2</t>
  </si>
  <si>
    <t>11 ธค.61</t>
  </si>
  <si>
    <t>ว 5651</t>
  </si>
  <si>
    <t>ค่าเช่าวัสดุ-อปกรณ์</t>
  </si>
  <si>
    <t>โครงการ สพป.พช. ไร้ขยะ</t>
  </si>
  <si>
    <t>ปาริชาติ ก้าน</t>
  </si>
  <si>
    <t>12 ธค.61</t>
  </si>
  <si>
    <t>ฎ.123</t>
  </si>
  <si>
    <t>ฎ.124</t>
  </si>
  <si>
    <t>เบิกเงินสมทบกองทุนเงินทดแทน/ลูกจ้าง</t>
  </si>
  <si>
    <t xml:space="preserve">  11.คชจ.บริหารจัดการสำนักงานฯ</t>
  </si>
  <si>
    <t>ไปรษณีย์  ตค.61</t>
  </si>
  <si>
    <t>ไปรษณีย์  พย..61</t>
  </si>
  <si>
    <t>ฎ.131</t>
  </si>
  <si>
    <t>ค่าถ่ายเอกสาร ประชุม ผอ.รร.</t>
  </si>
  <si>
    <t>ไอ.39</t>
  </si>
  <si>
    <t>ค่าพานพุ่มดอกไม้วันพ่อแห่งชาติ</t>
  </si>
  <si>
    <t>13 ธค.61</t>
  </si>
  <si>
    <t>ไอ.40</t>
  </si>
  <si>
    <t>ไอ.41</t>
  </si>
  <si>
    <t>ค่าน้ำดื่ม พย.61</t>
  </si>
  <si>
    <t>ไอ.42</t>
  </si>
  <si>
    <t>17 ธค.61</t>
  </si>
  <si>
    <t>ไอ.143</t>
  </si>
  <si>
    <t>ฎ.145</t>
  </si>
  <si>
    <t>19 ธค.61</t>
  </si>
  <si>
    <t>คชจ.ประชุม พรเมษา</t>
  </si>
  <si>
    <t>ไอ.46</t>
  </si>
  <si>
    <t>ไอ.47</t>
  </si>
  <si>
    <t>ไอ.48</t>
  </si>
  <si>
    <t>ค่าวัสดุ ประชุมธุรการ รร.</t>
  </si>
  <si>
    <t>ค่าถ่ายเอกสาร ประชุมธุรการ รร.</t>
  </si>
  <si>
    <t>ค่าป้ายไวนิล ประชุมธุรการ รร.</t>
  </si>
  <si>
    <t>ฎ.151</t>
  </si>
  <si>
    <t>ฎ.152</t>
  </si>
  <si>
    <t>ฎ.156</t>
  </si>
  <si>
    <t>เบิกของ ธค.61</t>
  </si>
  <si>
    <t>ว. 5776</t>
  </si>
  <si>
    <t>ค่าจ้างนักการ (คืนครูให้นักเรียน)</t>
  </si>
  <si>
    <t>เงินสมทบประกันสังคม</t>
  </si>
  <si>
    <t>ว. 5861</t>
  </si>
  <si>
    <t>20 ธค.61</t>
  </si>
  <si>
    <t>ว. 5801</t>
  </si>
  <si>
    <t>คชจ.อบรมธุรการโรงเรียน</t>
  </si>
  <si>
    <t>ว. 5756</t>
  </si>
  <si>
    <t>ค่าพาหนะภาคเรียน 2/2561</t>
  </si>
  <si>
    <t>รร.บ้านคลองดู่</t>
  </si>
  <si>
    <t>รร.บ้านหนองสะแกสี่</t>
  </si>
  <si>
    <t>รร.บ้านสระกรวด</t>
  </si>
  <si>
    <t>รร.บ้านเนินถาวร</t>
  </si>
  <si>
    <t>รร.บ้านนาเฉลียงใต้</t>
  </si>
  <si>
    <t>รร.บ้านห้วยโป่งไผ่ชวาง</t>
  </si>
  <si>
    <t>รร.บ้านกองทูล(พิทักษ์ราษฎร์)</t>
  </si>
  <si>
    <t>รร.สันเจริญโป่งสะทอน</t>
  </si>
  <si>
    <t>รร.บ้านสามัคคีพัฒนา</t>
  </si>
  <si>
    <t>รร.บ้านท่าโรง</t>
  </si>
  <si>
    <t>รร.บ้านหนองบัวทอง</t>
  </si>
  <si>
    <t>รร.โพทะเลประชาสรรค์</t>
  </si>
  <si>
    <t>รร.บ้านพุขาม</t>
  </si>
  <si>
    <t>รร.บ้านเขาสูงราษฎร์บำรุง</t>
  </si>
  <si>
    <t>รร.บ้านซับตะแบก</t>
  </si>
  <si>
    <t>รร.รัฐประชานุสรณ์</t>
  </si>
  <si>
    <t>รร.บ้านน้ำเดือด</t>
  </si>
  <si>
    <t>รร.บ้านราหุล</t>
  </si>
  <si>
    <t>รร.บ้านโป่งบุญเจริญ</t>
  </si>
  <si>
    <t>รร.บ้านทรัพย์เกษตร</t>
  </si>
  <si>
    <t>รร.บ้านซับสามัคคี</t>
  </si>
  <si>
    <t>รร.บ้านลำตะคร้อ</t>
  </si>
  <si>
    <t>รร.บ้านศรีมงคล</t>
  </si>
  <si>
    <t>รร.บ้านคลองตะคร้อ</t>
  </si>
  <si>
    <t>รร.บ้านห้วยทราย</t>
  </si>
  <si>
    <t>บริหารจัดการรถปิคอัพ  รร.พญาวัง</t>
  </si>
  <si>
    <t>บริหารจัดการรถปิคอัพ  รร.บ้านท่าด้วง</t>
  </si>
  <si>
    <t>บริหารจัดการรถตู้ รร.บ้านโป่งบุญเจริญ</t>
  </si>
  <si>
    <t xml:space="preserve">  ร.39002</t>
  </si>
  <si>
    <t>N 3104</t>
  </si>
  <si>
    <t>21 พย 61</t>
  </si>
  <si>
    <t>ค่าเช่าอินเทอร์เน็ต  ครั้งที่ 1</t>
  </si>
  <si>
    <t>ของ สพป.เพชรบูรณ์เขต 3</t>
  </si>
  <si>
    <t>ชุมชนบ้านโคกปรง</t>
  </si>
  <si>
    <t>บ้านเขายางโปร่ง</t>
  </si>
  <si>
    <t>บ้านซับอีลุม</t>
  </si>
  <si>
    <t>บ้านซับสวัสดิ์</t>
  </si>
  <si>
    <t>บ้านน้ำเดือด</t>
  </si>
  <si>
    <t>บ้านคลองทราย</t>
  </si>
  <si>
    <t>บ้านซับสมบูรณ์</t>
  </si>
  <si>
    <t>บ้านกระทุ่มทองประชาสรรค์</t>
  </si>
  <si>
    <t>บ้านนาไร่เดียว</t>
  </si>
  <si>
    <t>อนุบาลวัดในเรืองศรีวิเชียรฯ</t>
  </si>
  <si>
    <t>บ้านบุมะกรูด</t>
  </si>
  <si>
    <t>บ้านมาบสมอสามัคคี</t>
  </si>
  <si>
    <t>บ้านโคกสำราญ</t>
  </si>
  <si>
    <t>บ้านไทรงาม</t>
  </si>
  <si>
    <t>บ้านคลองบง</t>
  </si>
  <si>
    <t>บ้านถ้ำมงคลชัย</t>
  </si>
  <si>
    <t>บ้านน้ำร้อน</t>
  </si>
  <si>
    <t>บ้านหนองบัวขาว</t>
  </si>
  <si>
    <t>บ้านใหม่วิไลวัลย์</t>
  </si>
  <si>
    <t>บ้านหนองไม้สอ</t>
  </si>
  <si>
    <t>บ้านหนองโป่ง</t>
  </si>
  <si>
    <t>บ้านบึงกระจับ</t>
  </si>
  <si>
    <t>บ้านโคกปรือ</t>
  </si>
  <si>
    <t>บ้านโคกสง่า</t>
  </si>
  <si>
    <t>บ้านหนองคล้า</t>
  </si>
  <si>
    <t>บ้านตะกุดไผ่</t>
  </si>
  <si>
    <t>บ้านภูน้ำหยด</t>
  </si>
  <si>
    <t>บ้านพรหมประชาสรรค์</t>
  </si>
  <si>
    <t>บ้านพระที่นั่ง</t>
  </si>
  <si>
    <t>บ้านซับตะแบก</t>
  </si>
  <si>
    <t>บ้านน้ำอ้อม</t>
  </si>
  <si>
    <t>บ้านวังน้อย</t>
  </si>
  <si>
    <t>บ้านวังใหญ่</t>
  </si>
  <si>
    <t>บ้านดาดอุดม</t>
  </si>
  <si>
    <t>วัลลภานุสรณ์</t>
  </si>
  <si>
    <t>บ้านไทรทอง</t>
  </si>
  <si>
    <t>บ้านสระประดู่</t>
  </si>
  <si>
    <t>บ้านลำนารวย</t>
  </si>
  <si>
    <t>บ้านพรหมยาม</t>
  </si>
  <si>
    <t>บ้านแก่งหินปูน</t>
  </si>
  <si>
    <t>บ้านเข็มทอง</t>
  </si>
  <si>
    <t>บ้านไร่ตาพุฒ</t>
  </si>
  <si>
    <t>บ้านม่วงชุม</t>
  </si>
  <si>
    <t>บ้านคลองกระจังวังไทร</t>
  </si>
  <si>
    <t>บ้านเขาคลัง</t>
  </si>
  <si>
    <t>บ้านเกาะแก้ว</t>
  </si>
  <si>
    <t>บ้านวังขอน</t>
  </si>
  <si>
    <t>บ้านนาสวรรค์</t>
  </si>
  <si>
    <t>บ้านซับหินเพลิง</t>
  </si>
  <si>
    <t>บ้านนาสนุ่น</t>
  </si>
  <si>
    <t>บ้านหนองบัว</t>
  </si>
  <si>
    <t>บ้านโคกตะขบ</t>
  </si>
  <si>
    <t>บ้านนาน้ำโครม</t>
  </si>
  <si>
    <t>บ้านจัดสรร</t>
  </si>
  <si>
    <t>บ้านแควป่าสัก</t>
  </si>
  <si>
    <t>บ้านสันติธรรม</t>
  </si>
  <si>
    <t>บ้านหนองหมู</t>
  </si>
  <si>
    <t>บ้านนาตะกุด</t>
  </si>
  <si>
    <t>บ้านศรีเทพน้อย</t>
  </si>
  <si>
    <t>บ้านโคกสะแกลาด</t>
  </si>
  <si>
    <t>บ้านร่องหอยพัฒนา</t>
  </si>
  <si>
    <t>บ้านทุ่งเศรษฐี</t>
  </si>
  <si>
    <t>อนุบาลศรีเทพ (สว่างวัฒนา)</t>
  </si>
  <si>
    <t>บ้านโคกหิน</t>
  </si>
  <si>
    <t>บ้านซับน้อยพัฒนา</t>
  </si>
  <si>
    <t>บ้านหนองย่างทอย</t>
  </si>
  <si>
    <t>บ้านรังย้อย</t>
  </si>
  <si>
    <t>บ้านด่านเจริญชัย</t>
  </si>
  <si>
    <t>บ้านน้ำเขียว</t>
  </si>
  <si>
    <t>บ้านกองทูล(พิทักษ์ราษฎร์วิทยาคาร)</t>
  </si>
  <si>
    <t>บ้านเนินพัฒนา</t>
  </si>
  <si>
    <t>บ้านห้วยตลาด</t>
  </si>
  <si>
    <t>บ้านปางยาง</t>
  </si>
  <si>
    <t>บ้านเฉลียงทอง</t>
  </si>
  <si>
    <t>บ้านท่าสวาย</t>
  </si>
  <si>
    <t>บ้านไร่ขอนยางขวาง</t>
  </si>
  <si>
    <t>บ้านท่าแดง</t>
  </si>
  <si>
    <t>บ้านนาทุ่ง</t>
  </si>
  <si>
    <t>บ้านหัวโตก</t>
  </si>
  <si>
    <t>บ้านบ่อไทย</t>
  </si>
  <si>
    <t>บ้านตีบใต้</t>
  </si>
  <si>
    <t>บ้านนาวังแหน</t>
  </si>
  <si>
    <t>บ้านซับกระถินทอง</t>
  </si>
  <si>
    <t>บ้านป่าคาย</t>
  </si>
  <si>
    <t>บ้านบัววัฒนา</t>
  </si>
  <si>
    <t>บ้านไร่เหนือ</t>
  </si>
  <si>
    <t>บ้านเนินมะค่า</t>
  </si>
  <si>
    <t>บ้านวังอ่าง</t>
  </si>
  <si>
    <t>บ้านซับวารินทร์</t>
  </si>
  <si>
    <t>บ้านลำตาเณร</t>
  </si>
  <si>
    <t>ชุมชนบ้านโภชน์</t>
  </si>
  <si>
    <t>บ้านโคกคงสมโภชน์</t>
  </si>
  <si>
    <t>บ้านซับชมภู</t>
  </si>
  <si>
    <t>บ้านคลองกระโบน</t>
  </si>
  <si>
    <t>บ้านเนินสวรรค์</t>
  </si>
  <si>
    <t>บ้านซับเดื่อ</t>
  </si>
  <si>
    <t>บ้านเพชรละคร</t>
  </si>
  <si>
    <t>บ้านซับตะเคียนทอง</t>
  </si>
  <si>
    <t xml:space="preserve">บ้าน กม.30 </t>
  </si>
  <si>
    <t>บ้านวังเหว</t>
  </si>
  <si>
    <t>บ้านนาเฉลียง(เฉลียงทองราษฎร์บำรุง)</t>
  </si>
  <si>
    <t>บ้านกลาง</t>
  </si>
  <si>
    <t>บ้านวังท่าดี</t>
  </si>
  <si>
    <t>บ้านวังโบสถ์</t>
  </si>
  <si>
    <t>บ้านสระหมื่นเชียง</t>
  </si>
  <si>
    <t>บ้านโคกสง่านาข้าวดอ</t>
  </si>
  <si>
    <t>บ้านคลองตะพานหิน</t>
  </si>
  <si>
    <t>อนุบาลหนองไผ่</t>
  </si>
  <si>
    <t>บ้าน กม.35</t>
  </si>
  <si>
    <t xml:space="preserve">บ้านคลองยาง </t>
  </si>
  <si>
    <t>บ้านลำพาด</t>
  </si>
  <si>
    <t>บ้านห้วยโป่ง-ไผ่ขวาง</t>
  </si>
  <si>
    <t>บ้านปู่จ้าว</t>
  </si>
  <si>
    <t>บ้านซับบอน</t>
  </si>
  <si>
    <t>บ้านหนองพลวง</t>
  </si>
  <si>
    <t>บ้านโคกสะอาด</t>
  </si>
  <si>
    <t>บ้านราษฎร์เจริญ</t>
  </si>
  <si>
    <t>อนุบาลบึงสามพัน(ซับสมอทอด)</t>
  </si>
  <si>
    <t>บ้านตะกรุดหิน</t>
  </si>
  <si>
    <t>บ้านหินดาดน้อย</t>
  </si>
  <si>
    <t>บ้านราหุล</t>
  </si>
  <si>
    <t>บ้านวังปลา</t>
  </si>
  <si>
    <t>บ้านซับสำราญเหนือ</t>
  </si>
  <si>
    <t>บ้านพญาวัง</t>
  </si>
  <si>
    <t>บ้านซับสำราญใต้</t>
  </si>
  <si>
    <t>บ้านพนมเพชร</t>
  </si>
  <si>
    <t>บ้านยางสาว</t>
  </si>
  <si>
    <t>บ้านสระแก้ว</t>
  </si>
  <si>
    <t>บ้านวังไลย์</t>
  </si>
  <si>
    <t>บ้านหนองแจง</t>
  </si>
  <si>
    <t>บ้านหนองชุมแสง</t>
  </si>
  <si>
    <t>ไม่เบิก(ใช้เน็ตฟรี)</t>
  </si>
  <si>
    <t>ไม่เบิก(ใช้เน็ตฟรีของ TOT)</t>
  </si>
  <si>
    <t>ไม่เบิก(เรียนรวมกับ ร.ร.รวมทรัพย์)</t>
  </si>
  <si>
    <t>ไม่เบิก(ยุบเลิกสถานศึกษา)</t>
  </si>
  <si>
    <t>ไอ.49</t>
  </si>
  <si>
    <t>ค่าเช่าเน็ต พย.61</t>
  </si>
  <si>
    <t>พี.111</t>
  </si>
  <si>
    <t>เบิกของ พย.61</t>
  </si>
  <si>
    <t>ฎ.155</t>
  </si>
  <si>
    <t>ฎ.161</t>
  </si>
  <si>
    <t>ฎ.159</t>
  </si>
  <si>
    <t>ฎ.157</t>
  </si>
  <si>
    <t>ฎ.154</t>
  </si>
  <si>
    <t>21 ธค.61</t>
  </si>
  <si>
    <t>ฎ.165</t>
  </si>
  <si>
    <t>คชจ.ประชุมอัตรากำลัง</t>
  </si>
  <si>
    <t>คชจ.ประชุม</t>
  </si>
  <si>
    <t>ฎ.164</t>
  </si>
  <si>
    <t>ฎ.163</t>
  </si>
  <si>
    <t>เงินยืม ปาริชาติ 5 ส. (27 ธค.61)</t>
  </si>
  <si>
    <t>25 ธค.61</t>
  </si>
  <si>
    <t>ว 5886</t>
  </si>
  <si>
    <t>ค่าเดินทางอบรม TEPE Online</t>
  </si>
  <si>
    <t>ธนิษฐา</t>
  </si>
  <si>
    <t>ทีโอที  พย.61</t>
  </si>
  <si>
    <t>ฎ.167</t>
  </si>
  <si>
    <t>26 ธค.61</t>
  </si>
  <si>
    <t>ไอ.51</t>
  </si>
  <si>
    <t>ป้ายไวนิลรับนักเรียน</t>
  </si>
  <si>
    <t>ฎ.170</t>
  </si>
  <si>
    <t>27 ธค.61</t>
  </si>
  <si>
    <t>ฎ.171</t>
  </si>
  <si>
    <t>ฎ.172</t>
  </si>
  <si>
    <t>27 ธ๕.61</t>
  </si>
  <si>
    <t>ว. 5925</t>
  </si>
  <si>
    <t>ค่าตอบแทนพนง.  ครั้งที่ 2 (3 ด.)</t>
  </si>
  <si>
    <t xml:space="preserve"> ประกันสังคม พนง.ราชการ ค.2</t>
  </si>
  <si>
    <t>ศน.วิลัยภรณ์</t>
  </si>
  <si>
    <t>28 ธค.61</t>
  </si>
  <si>
    <t>ว. 5982</t>
  </si>
  <si>
    <t>คชจ.แข่งขันวิชาการระดับนานาชาติ รอบแรก</t>
  </si>
  <si>
    <t>ว. 5984</t>
  </si>
  <si>
    <t>ค่าเดินทางประชุมครูผู้ช่วยวิชาวิทย์-คณิตฯ</t>
  </si>
  <si>
    <t>บุคคล</t>
  </si>
  <si>
    <t>ฎ.141</t>
  </si>
  <si>
    <t>ประปา พย.61</t>
  </si>
  <si>
    <t>ประปา กย.61- ตค.61</t>
  </si>
  <si>
    <t>ทีโอที  ตค.61</t>
  </si>
  <si>
    <t>พี.121</t>
  </si>
  <si>
    <t>เบิกของ พย.61 / 1 ราย</t>
  </si>
  <si>
    <t xml:space="preserve">  ร.39007</t>
  </si>
  <si>
    <t>ทีโอที  กย.61</t>
  </si>
  <si>
    <t>ฎ.111</t>
  </si>
  <si>
    <t>เบิกเงินครู 3 ราย</t>
  </si>
  <si>
    <t>2 มค.62</t>
  </si>
  <si>
    <t>ฎ.179</t>
  </si>
  <si>
    <t>ฎ.175</t>
  </si>
  <si>
    <t>ค่าเดิอทาง ศน. 6 ราย (รร.คุณภาพฯ)</t>
  </si>
  <si>
    <t>ฎ.176</t>
  </si>
  <si>
    <t>ฎ.178</t>
  </si>
  <si>
    <t>ฎ.185</t>
  </si>
  <si>
    <t>ค่าเดินทาง ครูรร.ปากตก</t>
  </si>
  <si>
    <t>ฎ.187</t>
  </si>
  <si>
    <t>เบิกของ ตค.- ธค.61</t>
  </si>
  <si>
    <t>ไอ.54</t>
  </si>
  <si>
    <t>ไอ.55</t>
  </si>
  <si>
    <t>ค่าวัสดุ 5 ส.</t>
  </si>
  <si>
    <t>ค่าป้ายไวนิล 5 ส.</t>
  </si>
  <si>
    <t>ไอ.53</t>
  </si>
  <si>
    <t>3 มค.62</t>
  </si>
  <si>
    <t>น้ำมันตัดหญ้า</t>
  </si>
  <si>
    <t>7 มค.62</t>
  </si>
  <si>
    <t>ไอ.56</t>
  </si>
  <si>
    <t>โครงการ รวมพลังพัฒนาเด็กไทย อ่านเขียน คิด</t>
  </si>
  <si>
    <t>คำนวณได้ 100 %  ครั้งที่ 2</t>
  </si>
  <si>
    <t>ค่าเดินทาง ศน.รังสิมา</t>
  </si>
  <si>
    <t>ค่าเดินทาง ศน.พัชรินทร์</t>
  </si>
  <si>
    <t>ฎ.193</t>
  </si>
  <si>
    <t>9 มค.62</t>
  </si>
  <si>
    <t>เบิกค่าเดินทาง ศน.รังสิมา</t>
  </si>
  <si>
    <t>ฎ.194</t>
  </si>
  <si>
    <t>ฎ.195</t>
  </si>
  <si>
    <t>ค่าค่าเดินทาง อ๋อ, ชาริณี</t>
  </si>
  <si>
    <t>ฎ.197</t>
  </si>
  <si>
    <t>เบิกของเดือน ธค.61</t>
  </si>
  <si>
    <t>ฎ.199</t>
  </si>
  <si>
    <t>ร.39001</t>
  </si>
  <si>
    <t>ร.39002</t>
  </si>
  <si>
    <t>ศน.ลภัสลดา</t>
  </si>
  <si>
    <t>18 มค.62</t>
  </si>
  <si>
    <t>ว 253</t>
  </si>
  <si>
    <t>ค่าเดินทางอบรมผู้นำเครือข่ายท้องถิ่น (LN)</t>
  </si>
  <si>
    <t>ฎ.221</t>
  </si>
  <si>
    <t>17 มค.62</t>
  </si>
  <si>
    <t>ฎ.222</t>
  </si>
  <si>
    <t>เบิกของ มค.62</t>
  </si>
  <si>
    <t>ฎ.228</t>
  </si>
  <si>
    <t>21 มค.62</t>
  </si>
  <si>
    <t>ทีโอที  ธค.61</t>
  </si>
  <si>
    <t>ฎ.240</t>
  </si>
  <si>
    <t>ค่าเช่าเน็ต ธค.61</t>
  </si>
  <si>
    <t>ไอ.78</t>
  </si>
  <si>
    <t>รหัส 002</t>
  </si>
  <si>
    <t>15 มค.62</t>
  </si>
  <si>
    <t>ฎ.209</t>
  </si>
  <si>
    <t>ฎ.210</t>
  </si>
  <si>
    <t>ฎไอ.68</t>
  </si>
  <si>
    <t>ค่าน้ำดื่ม ธค.61</t>
  </si>
  <si>
    <t>15 มค.61</t>
  </si>
  <si>
    <t>ไอ.69</t>
  </si>
  <si>
    <t>ไอ.70</t>
  </si>
  <si>
    <t>ค่าสื่อ คัดแยกขยะก่อนทิ้ง</t>
  </si>
  <si>
    <t>ป้ายไวนิล ขยะ</t>
  </si>
  <si>
    <t>ไอ.71</t>
  </si>
  <si>
    <t>ค่าวัสดุ</t>
  </si>
  <si>
    <t>ไอ.72</t>
  </si>
  <si>
    <t>ค่าถ่ายเอกสาร</t>
  </si>
  <si>
    <t>ไอ.73</t>
  </si>
  <si>
    <t>เบิกเดือน ธค.61</t>
  </si>
  <si>
    <t>ไอ.75</t>
  </si>
  <si>
    <t>ฎ.229</t>
  </si>
  <si>
    <t>ฎ.230</t>
  </si>
  <si>
    <t>ฎ.231</t>
  </si>
  <si>
    <t>18 มค.61</t>
  </si>
  <si>
    <t>ไอ.82</t>
  </si>
  <si>
    <t>ไอ.83</t>
  </si>
  <si>
    <t>ไอ.154</t>
  </si>
  <si>
    <t>เบิกของ  ธค.61</t>
  </si>
  <si>
    <t>ฎ.242</t>
  </si>
  <si>
    <t>ฎ.243</t>
  </si>
  <si>
    <t>ฎ.244</t>
  </si>
  <si>
    <t>ฎ.245</t>
  </si>
  <si>
    <t>ฎ.246</t>
  </si>
  <si>
    <t>ฎ.253</t>
  </si>
  <si>
    <t>ฎ.252</t>
  </si>
  <si>
    <t>ฎ.250</t>
  </si>
  <si>
    <t>ฎ.251</t>
  </si>
  <si>
    <t>ฎ.257</t>
  </si>
  <si>
    <t>ฎ.254</t>
  </si>
  <si>
    <t>ฎ.256</t>
  </si>
  <si>
    <t>ฎ.248</t>
  </si>
  <si>
    <t>ค่าเดินทาง ศน.เสาวภา</t>
  </si>
  <si>
    <t>ฎ.258</t>
  </si>
  <si>
    <t>ฎ.259</t>
  </si>
  <si>
    <t>ค่าเดินทาง พรรณทิยพ์, กิตติกาญ</t>
  </si>
  <si>
    <t>ค่าเดินทาง ศน.พัชรินทร์ (ศิลปะฯ)</t>
  </si>
  <si>
    <t>ค่าเดินทาง กิตติกาญ,จุฑารัตน์</t>
  </si>
  <si>
    <t>เงินยืม รองสมหมาย</t>
  </si>
  <si>
    <t>ฎ.260</t>
  </si>
  <si>
    <t>ฎ.267</t>
  </si>
  <si>
    <t>ค่าเดินทาง ศน.เสาวภา, สุปัญญา</t>
  </si>
  <si>
    <t>23 มค.62</t>
  </si>
  <si>
    <t>ฎ.263</t>
  </si>
  <si>
    <t>ฎ.262</t>
  </si>
  <si>
    <t>ฎ.261</t>
  </si>
  <si>
    <t>รายจ่ายงบประจำ</t>
  </si>
  <si>
    <t>ร้อยละ   36</t>
  </si>
  <si>
    <t>ร้อยละ   57</t>
  </si>
  <si>
    <t>ร้อยละ   80</t>
  </si>
  <si>
    <t>ร้อยละ   100</t>
  </si>
  <si>
    <t>ร้อยละ   20</t>
  </si>
  <si>
    <t>ร้อยละ   45</t>
  </si>
  <si>
    <t>ร้อยละ   65</t>
  </si>
  <si>
    <t xml:space="preserve">   - ไตรมาสที่ 1      ร้อยละ   32</t>
  </si>
  <si>
    <t xml:space="preserve">  - ไตรมาสที่ 2      ร้อยละ    54</t>
  </si>
  <si>
    <t xml:space="preserve">  - ไตรมาสที่ 3      ร้อยละ   65</t>
  </si>
  <si>
    <t xml:space="preserve">  - ไตรมาสที่ 4      ร้อยละ   100</t>
  </si>
  <si>
    <t xml:space="preserve">            รายจ่ายภาพรวม</t>
  </si>
  <si>
    <t>เงินยืม</t>
  </si>
  <si>
    <t>ฎ.190</t>
  </si>
  <si>
    <t>3 ธค.61</t>
  </si>
  <si>
    <t>ค่าจ้างครูขั้นวิกฤต</t>
  </si>
  <si>
    <t>6 เดิอน  (ตค.61-มีค.62)</t>
  </si>
  <si>
    <t>5 เดิอน  (พย.61-มีค.62)</t>
  </si>
  <si>
    <t>5 เดิอน  (ตค.61-กพ.62)</t>
  </si>
  <si>
    <t>ฎ.200</t>
  </si>
  <si>
    <t>รายการค่าจ้าง</t>
  </si>
  <si>
    <t>พี.181</t>
  </si>
  <si>
    <t>25 มค.62</t>
  </si>
  <si>
    <t>เบิกเงินค่าเบี้ยประชุม/รร.นาเฉลียงใต้</t>
  </si>
  <si>
    <t>คชจ.ข้ามปี</t>
  </si>
  <si>
    <t>28 มค.62</t>
  </si>
  <si>
    <t>ว 350</t>
  </si>
  <si>
    <t>ค่าจ้างนักการ (คืนครูให้นักเรียน) 2</t>
  </si>
  <si>
    <t>ว. 355</t>
  </si>
  <si>
    <t>ค่าพาหนะเดินทางประชุมปฐมวัยแนวคิดไอสโคป</t>
  </si>
  <si>
    <t>ฎ.274</t>
  </si>
  <si>
    <t>เบิกเงินสมทบกองทุนเงินทดแทน ปี62</t>
  </si>
  <si>
    <t>ฎ.275</t>
  </si>
  <si>
    <t>ฎ.276</t>
  </si>
  <si>
    <t>ฎ.277</t>
  </si>
  <si>
    <t>ว 324</t>
  </si>
  <si>
    <t>คชจ.ประเมินบ้านนักวิทย์/ ค่าพาหนะเดินทาง</t>
  </si>
  <si>
    <t xml:space="preserve">  ร.06036</t>
  </si>
  <si>
    <t>24 มค.62</t>
  </si>
  <si>
    <t>ว 321</t>
  </si>
  <si>
    <t>ผอ.พรรณทิพย์</t>
  </si>
  <si>
    <t>งบป้องกันและแก้ไขปัญหายาเสพติด งวดที่ 1</t>
  </si>
  <si>
    <t>ฎ.280</t>
  </si>
  <si>
    <t>ฎ.281</t>
  </si>
  <si>
    <t>ค่าน้ำมันเชื้อเพลิง</t>
  </si>
  <si>
    <t>ฎ.279</t>
  </si>
  <si>
    <t>ค่าพานพุ่มดอกไม้วันศาลสมเด็จนเรศวร</t>
  </si>
  <si>
    <t>29 มค.62</t>
  </si>
  <si>
    <t>ไอ.98</t>
  </si>
  <si>
    <t>30 มค.62</t>
  </si>
  <si>
    <t>ว. 416</t>
  </si>
  <si>
    <t>ศน.อมรินทร์</t>
  </si>
  <si>
    <t>ว .379</t>
  </si>
  <si>
    <t>คชจ.ประเมินวิทยฐานะชำนาญการพิเศษ</t>
  </si>
  <si>
    <t>รับจากค่าวัสดุ</t>
  </si>
  <si>
    <t>รืบจากค่าวัสดุ/ค่าซ่อมรถ</t>
  </si>
  <si>
    <t>รับจากค่าวัสดุ สนง.</t>
  </si>
  <si>
    <t xml:space="preserve">                         รวมค่าสาธารณูฯ</t>
  </si>
  <si>
    <t>ตัดไปเป็นค่าไฟฟ้า</t>
  </si>
  <si>
    <t>ตัดไปงบบริหาร สนง.</t>
  </si>
  <si>
    <t>ตัดไปค่าซ่อมครุภัณฑ์</t>
  </si>
  <si>
    <t>งบกลยุทธ์โครงการ   (300,000 )</t>
  </si>
  <si>
    <t>ว.225</t>
  </si>
  <si>
    <t>เบิก ของ ธค.61</t>
  </si>
  <si>
    <t>คชจ.อบรมครูสะเต็มศึกษา STEM</t>
  </si>
  <si>
    <t>31 มค.62</t>
  </si>
  <si>
    <t>ว 493</t>
  </si>
  <si>
    <t>ค่าเดินทางประชุมโครงการโรงเรียนคุณภาพประจำตำบล</t>
  </si>
  <si>
    <t>ว. 474</t>
  </si>
  <si>
    <t xml:space="preserve">  ร.61037</t>
  </si>
  <si>
    <t>ค่าเดินทางประชุมต่อต้านการทุจริตตามแนวแม่บท</t>
  </si>
  <si>
    <t>ว.487</t>
  </si>
  <si>
    <t xml:space="preserve">  ร.39004</t>
  </si>
  <si>
    <t>1 กพ.62</t>
  </si>
  <si>
    <t>ว. 515</t>
  </si>
  <si>
    <t>โครงการการขัดการศึกษาเรียนรวม</t>
  </si>
  <si>
    <t>4 กพ.62</t>
  </si>
  <si>
    <t>ว 546</t>
  </si>
  <si>
    <t>ค่าจ้างธุรการ  9,000  ครั้งที่ 2</t>
  </si>
  <si>
    <t>ไอ.79</t>
  </si>
  <si>
    <t>ไอ.80</t>
  </si>
  <si>
    <t>ไอ.81</t>
  </si>
  <si>
    <t xml:space="preserve">   (งบบุคลากร)</t>
  </si>
  <si>
    <t>ฎ.300</t>
  </si>
  <si>
    <t>เบิกค่าเดินทาง</t>
  </si>
  <si>
    <t>ฎ.304</t>
  </si>
  <si>
    <t>ค่าเดินทางรองสันฯ/รองสมหมาย</t>
  </si>
  <si>
    <t>ฎ.303</t>
  </si>
  <si>
    <t>ฎ.302</t>
  </si>
  <si>
    <t>ฎ.301</t>
  </si>
  <si>
    <t>ค่าเช่าเน็ต มค.62</t>
  </si>
  <si>
    <t>ไอ.116</t>
  </si>
  <si>
    <t>ไอ.117</t>
  </si>
  <si>
    <t>ไอ.118</t>
  </si>
  <si>
    <t>ไอ.119</t>
  </si>
  <si>
    <t>ไอ.120</t>
  </si>
  <si>
    <t>ไอ.112</t>
  </si>
  <si>
    <t>ฎ.308</t>
  </si>
  <si>
    <t>เงินยืม ผอ.คะนึง</t>
  </si>
  <si>
    <t>5 กพ.62</t>
  </si>
  <si>
    <t>เงินยืม ปาริชาติ</t>
  </si>
  <si>
    <t>ฎ.318</t>
  </si>
  <si>
    <t>เงินยืม กิตติกาญจน์</t>
  </si>
  <si>
    <t>ฎ.319</t>
  </si>
  <si>
    <t>ไอ.121</t>
  </si>
  <si>
    <t>ค่าทำเอกสาร</t>
  </si>
  <si>
    <t>ค่าเดินทางกิตติกาญ, อภิรดี</t>
  </si>
  <si>
    <t>ฎ.320</t>
  </si>
  <si>
    <t>ฎ.321</t>
  </si>
  <si>
    <t>เงินยืมรองสันติชัย</t>
  </si>
  <si>
    <t>ฎ.322</t>
  </si>
  <si>
    <t>ไอ.123</t>
  </si>
  <si>
    <t>ค่าเอกสาร ประชุม ผอ.รร.</t>
  </si>
  <si>
    <t>ไอ.124</t>
  </si>
  <si>
    <t>ซ่อมรถ นข.1318</t>
  </si>
  <si>
    <t>7 กพ.62</t>
  </si>
  <si>
    <t>พี.209</t>
  </si>
  <si>
    <t>เบิก ของ มค.62</t>
  </si>
  <si>
    <t>ไอ.126</t>
  </si>
  <si>
    <t>ค่าวารสาร ฉบับที่ 1</t>
  </si>
  <si>
    <t>เงินยืม ศน.พัชรินทร์</t>
  </si>
  <si>
    <t>ฎ.332</t>
  </si>
  <si>
    <t>ฎ.334</t>
  </si>
  <si>
    <t>ฎ.338</t>
  </si>
  <si>
    <t>ค่าประกันภัยรถ... คัน</t>
  </si>
  <si>
    <t>ค่าเดินทาง ศน.วิลัยภรณ์</t>
  </si>
  <si>
    <t>ฎ.339</t>
  </si>
  <si>
    <t>ฎ.340</t>
  </si>
  <si>
    <t>เงินยืม ศน.พัชรินทร์ ไป พะเยา</t>
  </si>
  <si>
    <t>คืนเงินยืม ศน. ฎ.143</t>
  </si>
  <si>
    <t>คชจ.ในการประชุมประกวดราคาจ้าง/อินเทอร์เน็ต</t>
  </si>
  <si>
    <t>11 กพ.62</t>
  </si>
  <si>
    <t>ว. 607</t>
  </si>
  <si>
    <t>คชจ.การสอบปลายปีของผู้เรียน ปี2562</t>
  </si>
  <si>
    <t>8 กพ.62</t>
  </si>
  <si>
    <t>ไอ.127</t>
  </si>
  <si>
    <t>ไอ.128</t>
  </si>
  <si>
    <t>ไอ.129</t>
  </si>
  <si>
    <t>ฎ.341</t>
  </si>
  <si>
    <t>เบิกเดือน มค.62</t>
  </si>
  <si>
    <t>12 กพ.62</t>
  </si>
  <si>
    <t>ไอ.132</t>
  </si>
  <si>
    <t xml:space="preserve">  รับจากค่าซ๋อมสิ่งก่อสร้าง 1</t>
  </si>
  <si>
    <t xml:space="preserve">  รับจากค่าซ๋อมสิ่งก่อสร้าง 2</t>
  </si>
  <si>
    <t>ตัดไปค่าประปา</t>
  </si>
  <si>
    <t>รับมาจากค่าซ่อมสิ่งก่อสร้าง</t>
  </si>
  <si>
    <t>รับมาจากงบค่า..ฯ 6 รายการ</t>
  </si>
  <si>
    <t>13 กพ.62</t>
  </si>
  <si>
    <t>ว. 648</t>
  </si>
  <si>
    <t>คชจ.โครงการโรงเรียนคุณภาพประจำตำบล</t>
  </si>
  <si>
    <t>ว. 613</t>
  </si>
  <si>
    <t>ค่าเดินทางประชุมผู้จัดค่ายป้องกันปัญหายาเสพติด</t>
  </si>
  <si>
    <t>เงินสมทบฯ</t>
  </si>
  <si>
    <t>ว. 701</t>
  </si>
  <si>
    <t>เงินสมทบกองทุนฯ ปี 62 (5 รายการ)</t>
  </si>
  <si>
    <t>ฎ.348</t>
  </si>
  <si>
    <t>ค่าไฟเดือน มค.62</t>
  </si>
  <si>
    <t>ฎ.349</t>
  </si>
  <si>
    <t>ฎ.350</t>
  </si>
  <si>
    <t>ตกเบิก 3 ราย</t>
  </si>
  <si>
    <t>ฎ.352</t>
  </si>
  <si>
    <t>ค่าจ้างพนง.ขับรถ</t>
  </si>
  <si>
    <t>ฎ.351</t>
  </si>
  <si>
    <t>ไอ.141</t>
  </si>
  <si>
    <t>ไอ.138</t>
  </si>
  <si>
    <t>ค่าน้ำดื่ม มค.62</t>
  </si>
  <si>
    <t>ไอ.137</t>
  </si>
  <si>
    <t>ไอ.139</t>
  </si>
  <si>
    <t>14 กพ.62</t>
  </si>
  <si>
    <t>ฎ.361</t>
  </si>
  <si>
    <t>รับมาจากค่ำไฟฟ้า</t>
  </si>
  <si>
    <t>เบิกของเดือน มค.62</t>
  </si>
  <si>
    <t>ค่าเดินทาง ศน.ปาริชาติ, ศน.ปัณณธร</t>
  </si>
  <si>
    <t>ฎ.362</t>
  </si>
  <si>
    <t>ฎ.363</t>
  </si>
  <si>
    <t>เบิกของ กพ.62</t>
  </si>
  <si>
    <t>ค่าซื้อดินปลูกต้นไม้</t>
  </si>
  <si>
    <t>พี.221</t>
  </si>
  <si>
    <t>ไอ.145</t>
  </si>
  <si>
    <t>ไอ.147</t>
  </si>
  <si>
    <t>ไอ.142</t>
  </si>
  <si>
    <t>(มค - กย.62) สัญญาเพิ่ม</t>
  </si>
  <si>
    <t>15 กพ.62</t>
  </si>
  <si>
    <t>ไอ.148</t>
  </si>
  <si>
    <t>21 กพ.62</t>
  </si>
  <si>
    <t>ว. 790</t>
  </si>
  <si>
    <t>ค่าจ้าง เขต 9 ราย  ครั้งที่ 2</t>
  </si>
  <si>
    <t>20 กพ.62</t>
  </si>
  <si>
    <t>ฎ.375</t>
  </si>
  <si>
    <t>ฎ.376</t>
  </si>
  <si>
    <t>ฎ.377</t>
  </si>
  <si>
    <t>ฎ.378</t>
  </si>
  <si>
    <t>ฎ.379</t>
  </si>
  <si>
    <t>ค่าซ่อมรถฯ</t>
  </si>
  <si>
    <t>ฎ.385</t>
  </si>
  <si>
    <t>ฎ.384</t>
  </si>
  <si>
    <t>ทีโอที  มค.62</t>
  </si>
  <si>
    <t>ฎ.380</t>
  </si>
  <si>
    <t>ณ วันที่ 22  กพ. 2562</t>
  </si>
  <si>
    <t>ฎ.387</t>
  </si>
  <si>
    <t>ฎ.388</t>
  </si>
  <si>
    <t>ฎ.389</t>
  </si>
  <si>
    <t>ฎ.390</t>
  </si>
  <si>
    <t>ฎ.391</t>
  </si>
  <si>
    <t>ฎ.392</t>
  </si>
  <si>
    <t>ฎ.393</t>
  </si>
  <si>
    <t>ฎ.394</t>
  </si>
  <si>
    <t>ฎ.395</t>
  </si>
  <si>
    <t>ฎ.396</t>
  </si>
  <si>
    <t>6 เดิอน  (พย.61-เมย.62)</t>
  </si>
  <si>
    <t>12 เดิอน  (ตค.61-กย.62)</t>
  </si>
  <si>
    <t>22 กพ.62</t>
  </si>
  <si>
    <t>ว. 816</t>
  </si>
  <si>
    <t>โครงการพัฒนาจัดประสบการณ์เรียนสอนปฐมวัย ปี62</t>
  </si>
  <si>
    <t>ว 773</t>
  </si>
  <si>
    <t>เงินอุดหนุนยากจน ภาคเรียน 2/61</t>
  </si>
  <si>
    <t>ฎ.398</t>
  </si>
  <si>
    <t>ค่าเครื่งอมือประเมินฯ</t>
  </si>
  <si>
    <t>เงินอุดหนุนภาคเรียน 2/61 (30%)</t>
  </si>
  <si>
    <t>ว. 626</t>
  </si>
  <si>
    <t>ฎ.353</t>
  </si>
  <si>
    <t>ฎ.354</t>
  </si>
  <si>
    <t>ฎ.355</t>
  </si>
  <si>
    <t>เบิกเงิน 190 รร.</t>
  </si>
  <si>
    <t>ฎ.39</t>
  </si>
  <si>
    <t>ฎ.40</t>
  </si>
  <si>
    <t>รับคืนเงิน รร.หินดาดน้อย,ซับสมพงษ์</t>
  </si>
  <si>
    <t xml:space="preserve">  กิจกรรมพัฒนาคุณภาพผู้เรียน</t>
  </si>
  <si>
    <t xml:space="preserve"> ค่าอุปกรณ์การเรียน</t>
  </si>
  <si>
    <t xml:space="preserve"> ค่าจัดการเรียนการสอน</t>
  </si>
  <si>
    <t>เบิกเงินอุดหนุน 190  รร.</t>
  </si>
  <si>
    <t>26 กพ.62</t>
  </si>
  <si>
    <t>ฎ.450</t>
  </si>
  <si>
    <t>ฎ.399</t>
  </si>
  <si>
    <t>ค่าเก็บขยะ ธค.61 - มค.62</t>
  </si>
  <si>
    <t>ฎ.401</t>
  </si>
  <si>
    <t>เงินยืม ศน.ลภัสลดา</t>
  </si>
  <si>
    <t>26 dr.62</t>
  </si>
  <si>
    <t>E.403</t>
  </si>
  <si>
    <t>26กพ.62</t>
  </si>
  <si>
    <t>ฎ.402</t>
  </si>
  <si>
    <t>สรุปผลการเบิกจ่ายเงินงบประมาณ  ปี  2562</t>
  </si>
  <si>
    <t>ตัดไปค่าไปรษณีย์</t>
  </si>
  <si>
    <t xml:space="preserve">                      ยอดรวมทั้งสิ้น</t>
  </si>
  <si>
    <t>27 กพ.62</t>
  </si>
  <si>
    <t>รับมาจาก งบบริหาร สนง.</t>
  </si>
  <si>
    <t>คชจ.อบรมวิทยาการคอมฯ โครงการบ้านวิทย์ฯ</t>
  </si>
  <si>
    <t>28 กพ.62</t>
  </si>
  <si>
    <t>ว. 888</t>
  </si>
  <si>
    <t>ว. 889</t>
  </si>
  <si>
    <t>คชจ.ระบบดูแลช่วยเหลือนักเรียน</t>
  </si>
  <si>
    <t>งบลงทุน (ค่าครุภัณฑ์/สิ่งก่อสร้าง)</t>
  </si>
  <si>
    <t>1 มีค.62</t>
  </si>
  <si>
    <t>ฎ.409</t>
  </si>
  <si>
    <t>ค่าเดินทาง พรรณทิพย์</t>
  </si>
  <si>
    <t>ฎ.407</t>
  </si>
  <si>
    <t>ค่าเดินทาง รองสันติชัย</t>
  </si>
  <si>
    <t>ฎ.406</t>
  </si>
  <si>
    <t>เบิกค่าเดินทาง ศน.ปัณณฯ</t>
  </si>
  <si>
    <t>ค่าเดินทาง จุฑารัตน์/อภิรดี</t>
  </si>
  <si>
    <t>ฎ.410</t>
  </si>
  <si>
    <t>ฎ.411</t>
  </si>
  <si>
    <t>ฎ.408</t>
  </si>
  <si>
    <t>ค่าเดินทาง สุทัศน์</t>
  </si>
  <si>
    <t>4 มีค.62</t>
  </si>
  <si>
    <t>ฎ.413</t>
  </si>
  <si>
    <t>ตกเบิก 9 ราย</t>
  </si>
  <si>
    <t>5 มีค.62</t>
  </si>
  <si>
    <t>ฎ.414</t>
  </si>
  <si>
    <t>ฎ.415</t>
  </si>
  <si>
    <t>เงินยืม ปวงอร</t>
  </si>
  <si>
    <t>6 มีค.62</t>
  </si>
  <si>
    <t>ไอ.159</t>
  </si>
  <si>
    <t>ฎ.416</t>
  </si>
  <si>
    <t>ตกเบิก 1 ราย</t>
  </si>
  <si>
    <t>ฎ.417</t>
  </si>
  <si>
    <t>ค่าเดินทางรัชนีย์/ปาจรีย์</t>
  </si>
  <si>
    <t>ฎ.418</t>
  </si>
  <si>
    <t>ฎ.420</t>
  </si>
  <si>
    <t>ค่าเดินทาง รองสมหมาย</t>
  </si>
  <si>
    <t>ฎ.421</t>
  </si>
  <si>
    <t>ฎ.422</t>
  </si>
  <si>
    <t>ฎ.427</t>
  </si>
  <si>
    <t>ฎ.423</t>
  </si>
  <si>
    <t>เบิกเดือน กพ.62</t>
  </si>
  <si>
    <t>เบิก ของ กพ.62</t>
  </si>
  <si>
    <t>8 มีค.62</t>
  </si>
  <si>
    <t>พี.268</t>
  </si>
  <si>
    <t>โครงการบ้านวิทย์ฯ น้อย ปี 2562</t>
  </si>
  <si>
    <t>13 มีค.62</t>
  </si>
  <si>
    <t>ว 1042</t>
  </si>
  <si>
    <t>ว.1080</t>
  </si>
  <si>
    <t>เงินอุดหนุนภาคเรียน 1/62 (70%)</t>
  </si>
  <si>
    <t xml:space="preserve"> ค่าหนั้งสือเรียน</t>
  </si>
  <si>
    <t xml:space="preserve"> ค่าเครื่องแบบนักเรียน</t>
  </si>
  <si>
    <t>ฎ.451</t>
  </si>
  <si>
    <t>ฎ.452</t>
  </si>
  <si>
    <t>ฎ.453</t>
  </si>
  <si>
    <t>ฎ.454</t>
  </si>
  <si>
    <t>15 มีค.62</t>
  </si>
  <si>
    <t>ว. 1187</t>
  </si>
  <si>
    <t>ค่าจ้างเวรยาม/แม่บ้าน พิมพ์ดีด  ค.2</t>
  </si>
  <si>
    <t>12 มีค.62</t>
  </si>
  <si>
    <t>ไอ.170</t>
  </si>
  <si>
    <t>ค่าเช่าเน็ต กพ.62</t>
  </si>
  <si>
    <t>ไอ.171</t>
  </si>
  <si>
    <t>ไอ.172</t>
  </si>
  <si>
    <t>ค่าป้ายไวนิล/เลือกตั้ง ส.ส.</t>
  </si>
  <si>
    <t>ซ่อมรถ กฉ 1479</t>
  </si>
  <si>
    <t>ไอ.174</t>
  </si>
  <si>
    <t>ไอ.173</t>
  </si>
  <si>
    <t>ฎ.457</t>
  </si>
  <si>
    <t>ตกเบิก 2 ราย</t>
  </si>
  <si>
    <t>14 มีค.62</t>
  </si>
  <si>
    <t>ฎ.461</t>
  </si>
  <si>
    <t>ค่าเดินทาง ศน.ปัณณธร</t>
  </si>
  <si>
    <t>ฎ.460</t>
  </si>
  <si>
    <t>ฎ.462</t>
  </si>
  <si>
    <t>ค่าเดินทาง ส่งข้อสอบ</t>
  </si>
  <si>
    <t>ฎ.459</t>
  </si>
  <si>
    <t>ฎ.464</t>
  </si>
  <si>
    <t>ฎ.463</t>
  </si>
  <si>
    <t>ไอ.164</t>
  </si>
  <si>
    <t>ไ.175</t>
  </si>
  <si>
    <t>ไอ.175</t>
  </si>
  <si>
    <t>ไอ.167</t>
  </si>
  <si>
    <t>ไอ.168</t>
  </si>
  <si>
    <t>งบ 30,000</t>
  </si>
  <si>
    <t>รร.อนุบาลหนองไผ่</t>
  </si>
  <si>
    <t>รร.อนุบาลวัดในเรืองศรีฯ</t>
  </si>
  <si>
    <t>รร.บ้าน กม.35</t>
  </si>
  <si>
    <t>รร.บ้าน กม.30</t>
  </si>
  <si>
    <t>รร.บ้านซับชมภู</t>
  </si>
  <si>
    <t>รร.บ้านนาสนุ่น</t>
  </si>
  <si>
    <t>ไอ.178</t>
  </si>
  <si>
    <t>ไอ.179</t>
  </si>
  <si>
    <t>18 มีค.62</t>
  </si>
  <si>
    <t>ฎ.466</t>
  </si>
  <si>
    <t>12 มีค62</t>
  </si>
  <si>
    <t>ไอ.169</t>
  </si>
  <si>
    <t>19 มค.61</t>
  </si>
  <si>
    <t>9 กพ.62</t>
  </si>
  <si>
    <t>19 มค.62</t>
  </si>
  <si>
    <t>ไม่เบิก(ใช้เอง)</t>
  </si>
  <si>
    <t>25 มีค.62</t>
  </si>
  <si>
    <t xml:space="preserve"> ว 1296</t>
  </si>
  <si>
    <t>ค่าเช่าบ้าน ครั้งที่ 2</t>
  </si>
  <si>
    <t>เบิกของ มีค.62</t>
  </si>
  <si>
    <t>21 มีค.62</t>
  </si>
  <si>
    <t>ฎ.482</t>
  </si>
  <si>
    <t>wv.182</t>
  </si>
  <si>
    <t>ไอ.183</t>
  </si>
  <si>
    <t>ฎ.474</t>
  </si>
  <si>
    <t>ค่าเดินทาง อนวัฒน์</t>
  </si>
  <si>
    <t>20 มีค.62</t>
  </si>
  <si>
    <t>ไอ.184</t>
  </si>
  <si>
    <t>ฎ.479</t>
  </si>
  <si>
    <t>20 มี,ค.62</t>
  </si>
  <si>
    <t>รร.บ้านนาเฉลียง</t>
  </si>
  <si>
    <t>ฎ.374+412+480</t>
  </si>
  <si>
    <t>ฎ.481</t>
  </si>
  <si>
    <t>21 มีค. 62</t>
  </si>
  <si>
    <t>ฎ.483</t>
  </si>
  <si>
    <t>28 มี่ต.62</t>
  </si>
  <si>
    <t>ว 1409</t>
  </si>
  <si>
    <t>ค่าจ้างครูวิทย์-คณิต   ครั้งที่ 2</t>
  </si>
  <si>
    <t>สมทบค่าจ้างครูวิทย์-คณิต   ครั้งที่ 2</t>
  </si>
  <si>
    <t>สมทบค่าจ้างเขต 9 ราย  ครั้งที่ 2</t>
  </si>
  <si>
    <t>ฎ.484</t>
  </si>
  <si>
    <t>ฎ.485</t>
  </si>
  <si>
    <t>22 มีค.62</t>
  </si>
  <si>
    <t>ฎ.487</t>
  </si>
  <si>
    <t>ฎ.488</t>
  </si>
  <si>
    <t>ไอ.188</t>
  </si>
  <si>
    <t>ไอ.189</t>
  </si>
  <si>
    <t>ไอ.190</t>
  </si>
  <si>
    <t>ฎ.494</t>
  </si>
  <si>
    <t>ฎ.493</t>
  </si>
  <si>
    <t>เงินยืม ประชา</t>
  </si>
  <si>
    <t>ฎ.495</t>
  </si>
  <si>
    <t>ค่าเดินทาง ศน.ปัณณธณ, เสาวภา</t>
  </si>
  <si>
    <t>ค่าน้ำดื่ม กพ.62</t>
  </si>
  <si>
    <t>ไอ.193</t>
  </si>
  <si>
    <t>ไอ.194</t>
  </si>
  <si>
    <t>ไอ.195</t>
  </si>
  <si>
    <t>ไอ.196</t>
  </si>
  <si>
    <t>ฎ.503</t>
  </si>
  <si>
    <t>เงินยืม ศน.อมรินทร์</t>
  </si>
  <si>
    <t>คชจ.ประชุม คนึง</t>
  </si>
  <si>
    <t>27 มีค.62</t>
  </si>
  <si>
    <t>ฎ.507</t>
  </si>
  <si>
    <t>ฎ.506</t>
  </si>
  <si>
    <t>ทีโอที  กพ.62</t>
  </si>
  <si>
    <t>ฎ.509</t>
  </si>
  <si>
    <t>ฎ.508</t>
  </si>
  <si>
    <t xml:space="preserve"> 7 เดือน</t>
  </si>
  <si>
    <t>28 มี่ค.62</t>
  </si>
  <si>
    <t>28 มีค.62</t>
  </si>
  <si>
    <t>ว. 1364</t>
  </si>
  <si>
    <t>โครงการเสริมสร้างคุณธรรม( ร.ร.สุจริต)</t>
  </si>
  <si>
    <t>ศน.สุปัญญา</t>
  </si>
  <si>
    <t>ว 1389</t>
  </si>
  <si>
    <t>งบป้องกันและแก้ไขปัญหายาเสพติด งวดที่ 2</t>
  </si>
  <si>
    <t>กิตติกาญจน์</t>
  </si>
  <si>
    <t>ให้ปรับ J7 มากิน 002  ด้วย</t>
  </si>
  <si>
    <t>โครงการระบบประกันคุณภาพภายใน ปีกศ.2561</t>
  </si>
  <si>
    <t>รับงบประมาณบริหารฯ  ครั้งที่ 2  /300,000 บาท</t>
  </si>
  <si>
    <t>ฎ.511</t>
  </si>
  <si>
    <t>ของ มีค. 954,000</t>
  </si>
  <si>
    <t>มีค.45000</t>
  </si>
  <si>
    <t>มีค.18000</t>
  </si>
  <si>
    <t>29 มีค.62</t>
  </si>
  <si>
    <t>ฎ.521</t>
  </si>
  <si>
    <t>ค่าเดินทางอภิรดี, จุทารัตน์</t>
  </si>
  <si>
    <t>29มีค.62</t>
  </si>
  <si>
    <t>ตัดไปเป็นค่าน้ำมันเชื้อเพลิง</t>
  </si>
  <si>
    <t>ค่าเดินทาง ศน.สุปัญญา, เสาวภา,กัญจนา</t>
  </si>
  <si>
    <t>ฎ.522</t>
  </si>
  <si>
    <t>ไอ.199</t>
  </si>
  <si>
    <t>มค+กพ</t>
  </si>
  <si>
    <t>ฎ.297</t>
  </si>
  <si>
    <t>ไอ.207</t>
  </si>
  <si>
    <t>ไอ.208</t>
  </si>
  <si>
    <t>ไอ.192</t>
  </si>
  <si>
    <t>ค่าวัสดุประกันฯ</t>
  </si>
  <si>
    <t>ว. 1432</t>
  </si>
  <si>
    <t>ค่าเดินทางอบรมการใช้งาน/บำรุง อุปกรณ์ดาวเทียม</t>
  </si>
  <si>
    <t>ว. 1437</t>
  </si>
  <si>
    <t>เบิกของเดือน กพ.62</t>
  </si>
  <si>
    <t xml:space="preserve">ตัดไปเป็นค่าไปรษณีย์ </t>
  </si>
  <si>
    <t>รับมาจากค่าโทรศัพท์</t>
  </si>
  <si>
    <t>ฎ.458</t>
  </si>
  <si>
    <t>เบิก 9 ราย ของ กพ.62</t>
  </si>
  <si>
    <t>ฎ.505</t>
  </si>
  <si>
    <t>26 มีค.62</t>
  </si>
  <si>
    <t xml:space="preserve"> มีค. 62</t>
  </si>
  <si>
    <t>รับคืนเงินจากโรงเรียน</t>
  </si>
  <si>
    <t>ไม่ขอรับ</t>
  </si>
  <si>
    <t>การทดสอบความสามารถชองผู้เรียน RT</t>
  </si>
  <si>
    <t>การทดสอบความสามารถชองผู้เรียน NT</t>
  </si>
  <si>
    <t>ตัดไปเป็นค่าถ่ายเอกสาร</t>
  </si>
  <si>
    <t>4 เมย.62</t>
  </si>
  <si>
    <t>1 เมย.62</t>
  </si>
  <si>
    <t>ไอ.209</t>
  </si>
  <si>
    <t>ไอ.210</t>
  </si>
  <si>
    <t>ฎ.528</t>
  </si>
  <si>
    <t>3เมย.62</t>
  </si>
  <si>
    <t>ไอ.211</t>
  </si>
  <si>
    <t>กิจกรรม 5 ส. (วันสงกรานต์)</t>
  </si>
  <si>
    <t>ฎ.545</t>
  </si>
  <si>
    <t>10 เมย.62</t>
  </si>
  <si>
    <t>ไอ.220</t>
  </si>
  <si>
    <t>ค่าน้ำดื่ม มีค.62</t>
  </si>
  <si>
    <t>ค่าเดินทาง ศน.สุปัญญา</t>
  </si>
  <si>
    <t>11 เมย.62</t>
  </si>
  <si>
    <t>ฎ.516</t>
  </si>
  <si>
    <t>17 เมย.62</t>
  </si>
  <si>
    <t>ไอ.227</t>
  </si>
  <si>
    <t>ป้ายไวนิล/สงกรานต์</t>
  </si>
  <si>
    <t>18 เมย.62</t>
  </si>
  <si>
    <t>รับจากค่าวัสดุ สนง./ซ่อมรถ</t>
  </si>
  <si>
    <t>เบิกค่าไฟฟ้า มีค.62</t>
  </si>
  <si>
    <t>ฎ.577</t>
  </si>
  <si>
    <t>รับจากงบบริหาร สนง.</t>
  </si>
  <si>
    <t>ฎ.575</t>
  </si>
  <si>
    <t>เบิกของเดือน มีค.62</t>
  </si>
  <si>
    <t>ฎ.576</t>
  </si>
  <si>
    <t>เบิกของเดือนมีค.62</t>
  </si>
  <si>
    <t>ค่าตอบแทนพนง.  ครั้งที่ 3 (3 ด.)</t>
  </si>
  <si>
    <t>22 เมย.62</t>
  </si>
  <si>
    <t>ว. 1534</t>
  </si>
  <si>
    <t>เบิกของ มีค.-เมย.62</t>
  </si>
  <si>
    <t>ฎ.580</t>
  </si>
  <si>
    <t xml:space="preserve"> ประกันสังคม พนง.ราชการ ค.3</t>
  </si>
  <si>
    <t>เงินสมทบ พนง.ราชการ ค.3</t>
  </si>
  <si>
    <t>ฎ.581</t>
  </si>
  <si>
    <t>ว 1657</t>
  </si>
  <si>
    <t>ว 1631</t>
  </si>
  <si>
    <t>เมย.-กย.62</t>
  </si>
  <si>
    <t>เมย.-มิย.62</t>
  </si>
  <si>
    <t>คชจ.ในการประชุม(กลุ่มการเงินฯ)</t>
  </si>
  <si>
    <t>ประชุม เร่งรัดงปม.งบลงทุน  7 มีค.62</t>
  </si>
  <si>
    <t>สุกันยา</t>
  </si>
  <si>
    <t>คชจ.ประชุมพัสดุ ธุรการ ร.ร.  11  พย.61</t>
  </si>
  <si>
    <t>ประชุมคณะกรรมการตรวจรับพัสดุ ร.ร. 22 มีค.62</t>
  </si>
  <si>
    <t>24 เมย.62</t>
  </si>
  <si>
    <t>ว.1700</t>
  </si>
  <si>
    <t>เงินสมทบของ ครูวิทย์ฯ (ธค.ธค.62)</t>
  </si>
  <si>
    <t>เบิกเงินสมทบ ปี2562 (ยอด 112,000)</t>
  </si>
  <si>
    <t>ค่าจ้างนักการ 3 ด. (เมย.-มิย.62)</t>
  </si>
  <si>
    <t>26 เมย.62</t>
  </si>
  <si>
    <t>ว 1745</t>
  </si>
  <si>
    <t>ฎ.529</t>
  </si>
  <si>
    <t>ค่าเช่าเน็ต มีค.62</t>
  </si>
  <si>
    <t>ไอ.212</t>
  </si>
  <si>
    <t>รับจัดสรรงบ ครั้งที่ 2</t>
  </si>
  <si>
    <t>ไอ.213</t>
  </si>
  <si>
    <t>ซ่อมรถ ทร.1448</t>
  </si>
  <si>
    <t>ฎ.535</t>
  </si>
  <si>
    <t>ฎ.536</t>
  </si>
  <si>
    <t>ฎ.537</t>
  </si>
  <si>
    <t>ฎ.538</t>
  </si>
  <si>
    <t>ฎ.546</t>
  </si>
  <si>
    <t>ฎ.547</t>
  </si>
  <si>
    <t>ฎ.582</t>
  </si>
  <si>
    <t>ฎ.584</t>
  </si>
  <si>
    <t>ฎ.585</t>
  </si>
  <si>
    <t>ฎ.586</t>
  </si>
  <si>
    <t>ฎ.587</t>
  </si>
  <si>
    <t>ฎ.558</t>
  </si>
  <si>
    <t>ฎ.559</t>
  </si>
  <si>
    <t>ฎ.564</t>
  </si>
  <si>
    <t>ฎ.568</t>
  </si>
  <si>
    <t>เบิกค่าเดินทาง สุระศักดิ์</t>
  </si>
  <si>
    <t>ฎ.573</t>
  </si>
  <si>
    <t>ฎ.586+587</t>
  </si>
  <si>
    <t>23 เมย.62</t>
  </si>
  <si>
    <t>ฎ.589</t>
  </si>
  <si>
    <t>เบิกของ เมย.62</t>
  </si>
  <si>
    <t>ฎ.595</t>
  </si>
  <si>
    <t>ฎ.592</t>
  </si>
  <si>
    <t>ฎ.593</t>
  </si>
  <si>
    <t>ฎ.599</t>
  </si>
  <si>
    <t>ฎ.597</t>
  </si>
  <si>
    <t>ฎ.598</t>
  </si>
  <si>
    <t>ฎ.603</t>
  </si>
  <si>
    <t>ฎ.602</t>
  </si>
  <si>
    <t>ประชุม พุธเช้า</t>
  </si>
  <si>
    <t>ฎ.601</t>
  </si>
  <si>
    <t>คชจ.ประชุม KRS</t>
  </si>
  <si>
    <t>อนวัฒน์</t>
  </si>
  <si>
    <t>ฎ.600</t>
  </si>
  <si>
    <t>ทีโอที  มีค.62</t>
  </si>
  <si>
    <t>29 เมย.62</t>
  </si>
  <si>
    <t>ฎ.605</t>
  </si>
  <si>
    <t>รับงปม.เพิ่มเติม</t>
  </si>
  <si>
    <t>เงินยืม ประชุม ผอ.รร.  7 พค.62</t>
  </si>
  <si>
    <t>ฎ.607</t>
  </si>
  <si>
    <t>ฎ.563+606</t>
  </si>
  <si>
    <t>เบิกของ มีค.62/  27 ราย</t>
  </si>
  <si>
    <t>26เมย.62</t>
  </si>
  <si>
    <t>ไอ.236</t>
  </si>
  <si>
    <t>มค+กพ.</t>
  </si>
  <si>
    <t>กพ.</t>
  </si>
  <si>
    <t>I.140+204+224</t>
  </si>
  <si>
    <t>รร.บ้านกม.30</t>
  </si>
  <si>
    <t>รร.บ้านกม.35</t>
  </si>
  <si>
    <t>รร.บ้านวังโบสถ์</t>
  </si>
  <si>
    <t>รร.บ้านโคกคงสมโภขน์</t>
  </si>
  <si>
    <t>รร.บ้านท่าสวาย</t>
  </si>
  <si>
    <t>รร.วัดเขาเจริญธรรม</t>
  </si>
  <si>
    <t>รร.บ้านโคกสำราญ</t>
  </si>
  <si>
    <t>รร.บ้านหนองบัวขาว</t>
  </si>
  <si>
    <t>รร.บ้านวังใหญ่</t>
  </si>
  <si>
    <t>รร.ชุมชนพุเตย</t>
  </si>
  <si>
    <t>รร.บ้านบ่อรัง</t>
  </si>
  <si>
    <t>รร.บ้านหนองโป่ง</t>
  </si>
  <si>
    <t>รร.บ้านโคกสะแกลาด</t>
  </si>
  <si>
    <t>รร.ชุมชนโคกสะอาด</t>
  </si>
  <si>
    <t>รร.บ้านเกาะแก้ว</t>
  </si>
  <si>
    <t>รร.บ้านจัดสรร</t>
  </si>
  <si>
    <t>รร.บ้านนาตะกุด</t>
  </si>
  <si>
    <t>งบ 624000</t>
  </si>
  <si>
    <t>งบป้องกันแก้ไขปัญหายาเสพติด งวดที่ 1/ 86 รร.</t>
  </si>
  <si>
    <t>บ้านลำนาราย</t>
  </si>
  <si>
    <t>อนุบาลวัดในเรืองศรีฯ</t>
  </si>
  <si>
    <t>ชุมชนบ้านโภขน์</t>
  </si>
  <si>
    <t>บ้านนาเฉลียง</t>
  </si>
  <si>
    <t>ค่าน้ำมัน</t>
  </si>
  <si>
    <t>ถ่ายเอกสาร</t>
  </si>
  <si>
    <t>ถึง กย.62</t>
  </si>
  <si>
    <t>รับงบจาก ค่าวัสดุ/ เบิกของ มีค.62</t>
  </si>
  <si>
    <t>ฎ.543</t>
  </si>
  <si>
    <t>5 เมย.62</t>
  </si>
  <si>
    <t>ฎ.544</t>
  </si>
  <si>
    <t>ธุรการ มีค.62</t>
  </si>
  <si>
    <t>ฎ.542</t>
  </si>
  <si>
    <t>เบิก ของ มีค.62</t>
  </si>
  <si>
    <t>งบถึง กย.62</t>
  </si>
  <si>
    <t>ถึง มิย.62</t>
  </si>
  <si>
    <t>30 เมย.62</t>
  </si>
  <si>
    <t>ว 1806</t>
  </si>
  <si>
    <t>ค่าจ้าง ค.3 (เมย.-กย.62)</t>
  </si>
  <si>
    <t>ถึงกย.62</t>
  </si>
  <si>
    <t>ว. 1805</t>
  </si>
  <si>
    <t>ครูขั้นวิกฤต ค2 (เมย.-กย.62)</t>
  </si>
  <si>
    <t>เบิกเงิน /สัญญาจ้างทำข้อสอบ</t>
  </si>
  <si>
    <t>เบิกค่าเดินทางไป พิษณุโลก 41 ราย</t>
  </si>
  <si>
    <t>โครงการเขตสุจริต</t>
  </si>
  <si>
    <t>1 พค.62</t>
  </si>
  <si>
    <t>ว 1823</t>
  </si>
  <si>
    <t>ค่าจัดซื้อหนังสือสมเด็จพระเทพรัตนสุดาฯ</t>
  </si>
  <si>
    <t>ค่าจัดกิจกรรมฯ ในโครงการ</t>
  </si>
  <si>
    <t>ฎ.428</t>
  </si>
  <si>
    <t>เงินยืม ศน.ปิยะวรรณ์</t>
  </si>
  <si>
    <t>10 พค.62</t>
  </si>
  <si>
    <t>ว 1919</t>
  </si>
  <si>
    <t>ค่าตอบแทน ครั้งที่ 2 (พค-กย.62)</t>
  </si>
  <si>
    <t>3 พค.62</t>
  </si>
  <si>
    <t>ว. 1844</t>
  </si>
  <si>
    <t>ค่าจ้าง 70 ราย (เมย.-กย.62)</t>
  </si>
  <si>
    <t>ว. 1845</t>
  </si>
  <si>
    <t>ว. 1867</t>
  </si>
  <si>
    <t>7 พค.62</t>
  </si>
  <si>
    <t>ค่าจ้าง 8 ราย (เมย.-กย.62)</t>
  </si>
  <si>
    <t xml:space="preserve">ณ  วันที่  31  พฤษภาคม   2562             </t>
  </si>
  <si>
    <t>ว. 1879</t>
  </si>
  <si>
    <t>ค่าจ้าง 104 ราย (พค.-กค.62)</t>
  </si>
  <si>
    <t>ค่าจ้าง 7 ราย (พค.-กค.62)</t>
  </si>
  <si>
    <t>ศน.รังสิมา</t>
  </si>
  <si>
    <t>8 พค.62</t>
  </si>
  <si>
    <t>ว. 1887</t>
  </si>
  <si>
    <t>บ้านวิทย์ฯน้อย ระดับประถมฯ</t>
  </si>
  <si>
    <t>ค่าเดินทางประชุม หนังสือสมเด็จพระเทฯฯ</t>
  </si>
  <si>
    <t>อนุบาลวัดในเรืองศรีวิเชียรบุรี</t>
  </si>
  <si>
    <t>อนุบาลศรีเทพ(สว่างวัฒนา)</t>
  </si>
  <si>
    <t>บ้านคลองกะโบน</t>
  </si>
  <si>
    <t>บ้าน กม.30</t>
  </si>
  <si>
    <t xml:space="preserve">     เหลือจากจัดสรร</t>
  </si>
  <si>
    <t>2 พค.62</t>
  </si>
  <si>
    <t>ไอ.237</t>
  </si>
  <si>
    <t>ไอ.239</t>
  </si>
  <si>
    <t>ไอ.245</t>
  </si>
  <si>
    <t>เบิกซ่อมปริ้นเตอร์ (กลุ่มนิเทฯ)</t>
  </si>
  <si>
    <t>ไอ.241</t>
  </si>
  <si>
    <t>ค่าพวงมาลาวันศาลสมเด็จนเรศวร</t>
  </si>
  <si>
    <t>ไอ.243</t>
  </si>
  <si>
    <t>ไอ.242</t>
  </si>
  <si>
    <t>ค่าเช่าเน็ต เมย.62</t>
  </si>
  <si>
    <t>ไอ.247</t>
  </si>
  <si>
    <t>ไอ.248</t>
  </si>
  <si>
    <t>เบิกของ เมย..62</t>
  </si>
  <si>
    <t>เบิกค่าเดินทางส่งข้อสอบ</t>
  </si>
  <si>
    <t>ฎ.620</t>
  </si>
  <si>
    <t>ฎ.622</t>
  </si>
  <si>
    <t>เบิกเดือน เมย.62</t>
  </si>
  <si>
    <t>ฎ.618</t>
  </si>
  <si>
    <t>ค่าเดินทางครู 2 ราย</t>
  </si>
  <si>
    <t>ฎ.619</t>
  </si>
  <si>
    <t>ไอ.249</t>
  </si>
  <si>
    <t>เบิกของเดือน เมย.62</t>
  </si>
  <si>
    <t>ไอ.250</t>
  </si>
  <si>
    <t>เบิกค่าตรายาง กง.</t>
  </si>
  <si>
    <t>ฎ.626</t>
  </si>
  <si>
    <t>ค่าไฟเดือน เมย.62</t>
  </si>
  <si>
    <t>เบิกค่าประชุม พุธเช้า</t>
  </si>
  <si>
    <t>ฎ.628</t>
  </si>
  <si>
    <t>ฎ.629</t>
  </si>
  <si>
    <t>เงินยื ศน.สุปัญญา</t>
  </si>
  <si>
    <t>เบิกของ เมย./  93 ราย</t>
  </si>
  <si>
    <t>ฎ.633</t>
  </si>
  <si>
    <t>ฎ.636</t>
  </si>
  <si>
    <t>ค่าเก็บขยะ ตค-พย.61, กพ-มีค.62</t>
  </si>
  <si>
    <t>ฎ.637</t>
  </si>
  <si>
    <t>ค่าป้ายทะเบียนรถ 1448</t>
  </si>
  <si>
    <t>ค่าเดินทางกิตติกาญ</t>
  </si>
  <si>
    <t>ค่าเดินทางรองหมาย, กิตติกาญ</t>
  </si>
  <si>
    <t>ค่าจ้างพนง.ขับรถ มีค.62</t>
  </si>
  <si>
    <t>ฎ.639</t>
  </si>
  <si>
    <t>E.638</t>
  </si>
  <si>
    <t>13 พค.62</t>
  </si>
  <si>
    <t>ฎ.641</t>
  </si>
  <si>
    <t>ฎ.642</t>
  </si>
  <si>
    <t>เบิกประปาก เมย.62</t>
  </si>
  <si>
    <t>14 พค.62</t>
  </si>
  <si>
    <t>ไอ.258</t>
  </si>
  <si>
    <t>ค่าวัสดุพระราชพิธีบรมราชาพิเษก</t>
  </si>
  <si>
    <t>เบิกซ่อมปริ้นเตอร์ (กลุ่มการเงินฯ)</t>
  </si>
  <si>
    <t>เบิกซ่อมปริ้นเตอร์ (กลุ่มส่งเสริมฯ)</t>
  </si>
  <si>
    <t>ไอ.259</t>
  </si>
  <si>
    <t>ไอ.260</t>
  </si>
  <si>
    <t>ป้ายไวนิล/พระเจ้าอยู่หัว</t>
  </si>
  <si>
    <t>ไอ.261</t>
  </si>
  <si>
    <t>ค่าน้ำดื่ม เมย.62</t>
  </si>
  <si>
    <t>ไอ.262</t>
  </si>
  <si>
    <t>15 พค.62</t>
  </si>
  <si>
    <t>ว.1994</t>
  </si>
  <si>
    <t>ค่าหนังสือเรียน ปีการศึกษา 2561</t>
  </si>
  <si>
    <t>เบิกเงินให้ 155 ร.ร.</t>
  </si>
  <si>
    <t>ฎ.654</t>
  </si>
  <si>
    <t>เงินยืม ปัทมาภรณ์</t>
  </si>
  <si>
    <t>ฎ.655</t>
  </si>
  <si>
    <t>ฎ.656</t>
  </si>
  <si>
    <t>ฎ.657</t>
  </si>
  <si>
    <t>เบิกของ เมย./  11 ราย</t>
  </si>
  <si>
    <t>ฎ.658</t>
  </si>
  <si>
    <t>มค+กพ.มีค</t>
  </si>
  <si>
    <t>มค+กพ+มีค</t>
  </si>
  <si>
    <t>มค+กพ.+มีค</t>
  </si>
  <si>
    <t>กพ.+มึค</t>
  </si>
  <si>
    <t>ว. 2157</t>
  </si>
  <si>
    <t>23 พค.62</t>
  </si>
  <si>
    <t>21 พค.62</t>
  </si>
  <si>
    <t>พาหนะประชุม การสอนพระพุทธศาสนาในโรงเรียน</t>
  </si>
  <si>
    <t>ฎ.669</t>
  </si>
  <si>
    <t>ค่าเดินทาง ศน.ลภัสลดา</t>
  </si>
  <si>
    <t>ฎ.670</t>
  </si>
  <si>
    <t>ฎ.672</t>
  </si>
  <si>
    <t>เบิกเดือน เม.ย.62</t>
  </si>
  <si>
    <t>ค่าเดินทาง ศน.ปิยะวรรณ์</t>
  </si>
  <si>
    <t>ไอ.264</t>
  </si>
  <si>
    <t>ฎ.673</t>
  </si>
  <si>
    <t>เบิกของ เมย./ 2 ราย</t>
  </si>
  <si>
    <t>เบิกเดือน พค.62</t>
  </si>
  <si>
    <t>ฎ.664</t>
  </si>
  <si>
    <t>ฎ.666</t>
  </si>
  <si>
    <t>ฎ.663</t>
  </si>
  <si>
    <t>ฎ.665</t>
  </si>
  <si>
    <t>เบิกของ พค.62</t>
  </si>
  <si>
    <t>23 พ.62</t>
  </si>
  <si>
    <t>ฎ.667</t>
  </si>
  <si>
    <t>ฎ.662</t>
  </si>
  <si>
    <t>เบิกของเดือน พค.62</t>
  </si>
  <si>
    <t>27 พค.62</t>
  </si>
  <si>
    <t>ไอ.270</t>
  </si>
  <si>
    <t>ค่าจ้างเหมารถ</t>
  </si>
  <si>
    <t>ค่าเดินทางกิตติกาญ, สุกันยา</t>
  </si>
  <si>
    <t>ฎ.674</t>
  </si>
  <si>
    <t>ฎ.676</t>
  </si>
  <si>
    <t>เงินยืม ค่าเดินทางสุกันยา</t>
  </si>
  <si>
    <t>เบิก พค.62</t>
  </si>
  <si>
    <t>ทีโอที  เมย.62</t>
  </si>
  <si>
    <t>ฎ.683</t>
  </si>
  <si>
    <t>ฎ.677</t>
  </si>
  <si>
    <t>ฎ.678</t>
  </si>
  <si>
    <t>ธค-กพ.+มีค</t>
  </si>
  <si>
    <t>29 พค.62</t>
  </si>
  <si>
    <t>ว. 2235</t>
  </si>
  <si>
    <t>ค่าเดินทางร่วมงานนชุมนุมลูกเสือ จิตอาสา</t>
  </si>
  <si>
    <t>คืนเงินลูกจ้าง ลาออก ฎ.484</t>
  </si>
  <si>
    <t>คืนเงินลูกจ้างลาออก พค.62</t>
  </si>
  <si>
    <t>พนง.ลาออก พค.62</t>
  </si>
  <si>
    <t>คืนเงินยืม ฎ.503</t>
  </si>
  <si>
    <t>คืนฎ.520/2970บาท</t>
  </si>
  <si>
    <t>คืนเงินยืม (ศน.พัชรินท) ฎ.332</t>
  </si>
  <si>
    <t>คืนเงินยืม ปาริชาต ฎ.163</t>
  </si>
  <si>
    <t>คืนเงินยืม(รองหมาย) ฎ.260</t>
  </si>
  <si>
    <t>ไอ.272</t>
  </si>
  <si>
    <t>ฎ.686</t>
  </si>
  <si>
    <t>ค่าจ้าง เมย.-พค.</t>
  </si>
  <si>
    <t>ฎ.685</t>
  </si>
  <si>
    <t>ฎ.691</t>
  </si>
  <si>
    <t>ฎ.689+690</t>
  </si>
  <si>
    <t>ฎ.688</t>
  </si>
  <si>
    <t>ฎ.694</t>
  </si>
  <si>
    <t>ฎ.695</t>
  </si>
  <si>
    <t>ไอ.276</t>
  </si>
  <si>
    <t>30 พค.62</t>
  </si>
  <si>
    <t>ค่าวัสดุ รร.กม.35</t>
  </si>
  <si>
    <t>ทั้ง 4 ฎ.</t>
  </si>
  <si>
    <t>คชจ.ประชุมเลื่อนขั้น</t>
  </si>
  <si>
    <t>ฎ.693</t>
  </si>
  <si>
    <t>พนง.ลาออก ธค.61</t>
  </si>
  <si>
    <t>คืนเงินลาออก 1 ราย ธค.61</t>
  </si>
  <si>
    <t>นายธิเบต</t>
  </si>
  <si>
    <t>ฎ.660</t>
  </si>
  <si>
    <t>22 พค.62</t>
  </si>
  <si>
    <t>ฎ.324</t>
  </si>
  <si>
    <t>คืนเงินยืม(รองสันติชัย) ฎ.324</t>
  </si>
  <si>
    <t>ฎ.433</t>
  </si>
  <si>
    <t>ค่าเดินทาง นางสุนันท์</t>
  </si>
  <si>
    <t>ฎ.698</t>
  </si>
  <si>
    <t>เบิกของ พ.ค...62</t>
  </si>
  <si>
    <t>ฎ.702</t>
  </si>
  <si>
    <t>31 พค.62</t>
  </si>
  <si>
    <t>ฎ.434</t>
  </si>
  <si>
    <t>รับ งปม. จัดทำวารสาร</t>
  </si>
  <si>
    <t>ฎ.435</t>
  </si>
  <si>
    <t>4 มิย.62</t>
  </si>
  <si>
    <t>ฎ.710</t>
  </si>
  <si>
    <t>ฎ.703</t>
  </si>
  <si>
    <t>ฎ.704</t>
  </si>
  <si>
    <t>ฎ.705</t>
  </si>
  <si>
    <t>ฎ.706</t>
  </si>
  <si>
    <t>วารสารประชาสัมพันธ์</t>
  </si>
  <si>
    <t>7 มิย.62</t>
  </si>
  <si>
    <t>ฎ.712</t>
  </si>
  <si>
    <t>เงินยืม สุนันท์ บัวเทศ</t>
  </si>
  <si>
    <t>ฎ.711</t>
  </si>
  <si>
    <t>ฎ.713</t>
  </si>
  <si>
    <t>ฎ.716</t>
  </si>
  <si>
    <t>10 มิย.62</t>
  </si>
  <si>
    <t>ไอ.300</t>
  </si>
  <si>
    <t>ไอ.288</t>
  </si>
  <si>
    <t>ไอ.289</t>
  </si>
  <si>
    <t>ไอ.290</t>
  </si>
  <si>
    <t>ไอ.292</t>
  </si>
  <si>
    <t>ไอ.293</t>
  </si>
  <si>
    <t>ไอ.294</t>
  </si>
  <si>
    <t>ไอ.295</t>
  </si>
  <si>
    <t>ไอ.296</t>
  </si>
  <si>
    <t>ไอ.297</t>
  </si>
  <si>
    <t>ไอ.298</t>
  </si>
  <si>
    <t>ฎ.715</t>
  </si>
  <si>
    <t>เบิกของ พค./ 62 ราย</t>
  </si>
  <si>
    <t>ซ่อมรถ นข.3689</t>
  </si>
  <si>
    <t>ฎ.707</t>
  </si>
  <si>
    <t>เงินยืม อนวัฒน์</t>
  </si>
  <si>
    <t>ฎ.708</t>
  </si>
  <si>
    <t>ค่าเช่าเน็ต พค.62</t>
  </si>
  <si>
    <t>ไอ.277</t>
  </si>
  <si>
    <t>ค่าเดินทาง สุระศักดิ์</t>
  </si>
  <si>
    <t>ฎ.731</t>
  </si>
  <si>
    <t>ค่าเดินทาง คะนึง/ ศน.รังสิมา</t>
  </si>
  <si>
    <t>ฎ.747</t>
  </si>
  <si>
    <t>เบิกประปาก พค.62</t>
  </si>
  <si>
    <t>ฎ.746</t>
  </si>
  <si>
    <t>12 มิย.62</t>
  </si>
  <si>
    <t>ฎ.751</t>
  </si>
  <si>
    <t>ค่าตรายาง</t>
  </si>
  <si>
    <t>วัสดุสมเด็จพระบรมราชินี</t>
  </si>
  <si>
    <t>ไอ.308</t>
  </si>
  <si>
    <t>ไอ.309</t>
  </si>
  <si>
    <t>ไอ.311</t>
  </si>
  <si>
    <t>ค่าไฟเดือน พค.62</t>
  </si>
  <si>
    <t>ค่าเดินทาง สุนันท์ บัวเทศ</t>
  </si>
  <si>
    <t>ตัดงบไปเป็นค่าเบี้ยเลี้ยง</t>
  </si>
  <si>
    <t>รับจากงบ บริหารสนง.</t>
  </si>
  <si>
    <t>11มิย.62</t>
  </si>
  <si>
    <t>ว 2391</t>
  </si>
  <si>
    <t>ค่าเดินทางประชุม ผอ.กลุ่มนิเทศฯ</t>
  </si>
  <si>
    <t>ค่าเดินทางประชุมของโรงเรียนคุณภาพประจำตำบล</t>
  </si>
  <si>
    <t>14 มิย.62</t>
  </si>
  <si>
    <t>ว. 2427</t>
  </si>
  <si>
    <t>18 มิย.62</t>
  </si>
  <si>
    <t xml:space="preserve">ว 2492 </t>
  </si>
  <si>
    <t>ค่าเดินทางประชุมคัดเลือก นร./ รร.พระราชทาน</t>
  </si>
  <si>
    <t>อรพรรณ</t>
  </si>
  <si>
    <t>ย.430</t>
  </si>
  <si>
    <t>พี.430</t>
  </si>
  <si>
    <t>ฎ.733</t>
  </si>
  <si>
    <t>11 มิย.62</t>
  </si>
  <si>
    <t>ค่าเดินทางวันเปิดภาคเรียน 16 พค.</t>
  </si>
  <si>
    <t>ฎ.732</t>
  </si>
  <si>
    <t>ฎ.730</t>
  </si>
  <si>
    <t>ฎ.745</t>
  </si>
  <si>
    <t>13 มิย.62</t>
  </si>
  <si>
    <t>ไอ.303</t>
  </si>
  <si>
    <t>ไอ.304</t>
  </si>
  <si>
    <t>ค่าจ้างพนง.ขับรถ เมย.62</t>
  </si>
  <si>
    <t>ฎ.753</t>
  </si>
  <si>
    <t>17 มิย.62</t>
  </si>
  <si>
    <t>ค่าจ้างพนง.ขับรถ พค.62</t>
  </si>
  <si>
    <t>ไอ.305</t>
  </si>
  <si>
    <t>ค่าน้ำดื่ม พค.62</t>
  </si>
  <si>
    <t>ไอ.307</t>
  </si>
  <si>
    <t>ค่าจัดทำเอกสารรายงานผล</t>
  </si>
  <si>
    <t>เบิกเดินทาง รร.ราหุล</t>
  </si>
  <si>
    <t>ฎ.757</t>
  </si>
  <si>
    <t>เงินยืม ศน.วิลัยภรณ์</t>
  </si>
  <si>
    <t>ไอ.310</t>
  </si>
  <si>
    <t>20 มิย.62</t>
  </si>
  <si>
    <t>ฎ.764</t>
  </si>
  <si>
    <t>เงินยื ผุสดี</t>
  </si>
  <si>
    <t>ฎ.752</t>
  </si>
  <si>
    <t>ไอ.312</t>
  </si>
  <si>
    <t>รับงบเพิ่ม ค.2</t>
  </si>
  <si>
    <t xml:space="preserve">                          ยอดเหลือจากจัดสรร ค.1+2</t>
  </si>
  <si>
    <t>โครงการรักษ์ภาษาไทย (วันภาษาไทยแห่งชาติปี 62)</t>
  </si>
  <si>
    <t>คืนเข้างบกลาง</t>
  </si>
  <si>
    <t>ไอ.315</t>
  </si>
  <si>
    <t>ค่าจัดทำเอกสาร</t>
  </si>
  <si>
    <t>ฎ.768</t>
  </si>
  <si>
    <t>ฎ.627</t>
  </si>
  <si>
    <t>20 ,มิย.62</t>
  </si>
  <si>
    <t>ฎ.769</t>
  </si>
  <si>
    <t>ฎ.770</t>
  </si>
  <si>
    <t>ค่าเดินทาง พรรณทิยพ์, กิตติกาญ,รองหมาย</t>
  </si>
  <si>
    <t>ฎ.771</t>
  </si>
  <si>
    <t>ค่าเดินทาง.ปัณธร, เสาวภา,พัชรินทร์, รังสิมา</t>
  </si>
  <si>
    <t>21 มิย.62</t>
  </si>
  <si>
    <t>ฎ.772</t>
  </si>
  <si>
    <t>เงินยืม ศน.กัญจนา</t>
  </si>
  <si>
    <t>รหัส 33045</t>
  </si>
  <si>
    <t>รหัส 33062</t>
  </si>
  <si>
    <t>24 มิย.62</t>
  </si>
  <si>
    <t>ฎ.775</t>
  </si>
  <si>
    <t>ฎ.773</t>
  </si>
  <si>
    <t>เบิก พค. 11 ราย</t>
  </si>
  <si>
    <t>ฎ.774</t>
  </si>
  <si>
    <t>เบิก พค. 2 ราย</t>
  </si>
  <si>
    <t>ฎ.778</t>
  </si>
  <si>
    <t>เบิกของ มิย.62</t>
  </si>
  <si>
    <t>รับจัดสรรงบ ครั้งที่ 3</t>
  </si>
  <si>
    <t>รับจากค่าประกันภัย</t>
  </si>
  <si>
    <t>ตัดไปเป็นค่าซ่อมรถ</t>
  </si>
  <si>
    <t>ฎ.783</t>
  </si>
  <si>
    <t>23 มิย.62</t>
  </si>
  <si>
    <t>ฎ.784</t>
  </si>
  <si>
    <t>25 มิย.62</t>
  </si>
  <si>
    <t>ฎ.779</t>
  </si>
  <si>
    <t>ฎ.781</t>
  </si>
  <si>
    <t>ค่าเดินทางสุนันท์,ธนิษฐา</t>
  </si>
  <si>
    <t>ฎ.782</t>
  </si>
  <si>
    <t>ไอ.323</t>
  </si>
  <si>
    <t>ฎ.810</t>
  </si>
  <si>
    <t>คชจ.ประชุม นิศานารถ</t>
  </si>
  <si>
    <t>คชจ.ประชุม ผลงานฯ</t>
  </si>
  <si>
    <t>ฎ.811</t>
  </si>
  <si>
    <t>ฎ.812</t>
  </si>
  <si>
    <t>ค่าเดินทางสุกัญญา กรวยทอง</t>
  </si>
  <si>
    <t>ฎ.813</t>
  </si>
  <si>
    <t>เบิกค่าเดินทางครู</t>
  </si>
  <si>
    <t>ไอ.321</t>
  </si>
  <si>
    <t>ไอ.322</t>
  </si>
  <si>
    <t>ไอ.320</t>
  </si>
  <si>
    <t>ไอ.319</t>
  </si>
  <si>
    <t>ไอ.318</t>
  </si>
  <si>
    <t>26 มิย.62</t>
  </si>
  <si>
    <t>ไอ.324</t>
  </si>
  <si>
    <t>เบิก พค. 4 ราย</t>
  </si>
  <si>
    <t>ฎ.814</t>
  </si>
  <si>
    <t>ฎ.788</t>
  </si>
  <si>
    <t>ฎ.785</t>
  </si>
  <si>
    <t>เบิกเดือน มิย.62</t>
  </si>
  <si>
    <t>ฎ.786</t>
  </si>
  <si>
    <t>ฎ.787</t>
  </si>
  <si>
    <t>ฎ.790</t>
  </si>
  <si>
    <t>ฎ.791</t>
  </si>
  <si>
    <t>ฎ.792</t>
  </si>
  <si>
    <t>ฎ.793</t>
  </si>
  <si>
    <t>ฎ.794</t>
  </si>
  <si>
    <t>รับงบเพิ่ม ค.3</t>
  </si>
  <si>
    <t>19 มิย.62</t>
  </si>
  <si>
    <t>เดิม 29900</t>
  </si>
  <si>
    <t>โครงการ Digital Content เพื่อการเรียนการสอน</t>
  </si>
  <si>
    <t>โครงการขัดทำแผนอัตรากำลัง ระยะ 10 ปี</t>
  </si>
  <si>
    <t>พิชิตชัย/ปัทฯ</t>
  </si>
  <si>
    <t>คืนเงินเข้ากองกลาง = 38838</t>
  </si>
  <si>
    <t xml:space="preserve">  -ตัดไปงบประจำ  5 แสน</t>
  </si>
  <si>
    <t xml:space="preserve">  -ตัดไปงบประจำ  9 แสน 5 หมื่น</t>
  </si>
  <si>
    <t>ยอดรับ 3 งวด</t>
  </si>
  <si>
    <t>ว. 2612</t>
  </si>
  <si>
    <t>ค่าเดินทางประชุมศูนย์เฉพาะกิจช่วยเหลือนักเรียน</t>
  </si>
  <si>
    <t>คนึง</t>
  </si>
  <si>
    <t>ว 2614</t>
  </si>
  <si>
    <t>ค่าเดินทางประชุมเพศวิถีศึกษาในโรงเรียน</t>
  </si>
  <si>
    <t>ว. 2615</t>
  </si>
  <si>
    <t>คชจ.คณะกรรมการ/พี่เลี้ยง Coaching</t>
  </si>
  <si>
    <t>27 มิย.62</t>
  </si>
  <si>
    <t>ฎ.819</t>
  </si>
  <si>
    <t>ฎ.817</t>
  </si>
  <si>
    <t>ฎ.818</t>
  </si>
  <si>
    <t>ค่าเดินทางครู รร.กม.35</t>
  </si>
  <si>
    <t>ค่าเช่าพื้นที่ เว็บไซต์</t>
  </si>
  <si>
    <t>ว. 2507</t>
  </si>
  <si>
    <t>รับงบประมาณบริหารฯ  ครั้งที่ 4  /</t>
  </si>
  <si>
    <r>
      <t xml:space="preserve">รับงบประมาณบริหารฯ  </t>
    </r>
    <r>
      <rPr>
        <b/>
        <sz val="13"/>
        <rFont val="TH SarabunPSK"/>
        <family val="2"/>
      </rPr>
      <t xml:space="preserve">ครั้งที่ 2 (1 ล้าน) </t>
    </r>
  </si>
  <si>
    <r>
      <t xml:space="preserve">รับงบประมาณบริหารฯ  </t>
    </r>
    <r>
      <rPr>
        <b/>
        <sz val="13"/>
        <rFont val="TH SarabunPSK"/>
        <family val="2"/>
      </rPr>
      <t>ครั้งที่ 4 (1 ล้าน)</t>
    </r>
  </si>
  <si>
    <r>
      <t xml:space="preserve">รับงบประมาณบริหารฯ  </t>
    </r>
    <r>
      <rPr>
        <b/>
        <sz val="13"/>
        <rFont val="TH SarabunPSK"/>
        <family val="2"/>
      </rPr>
      <t>ครั้งที่ 3 (1 ล้าน )</t>
    </r>
  </si>
  <si>
    <t>รับอีก  งวดที่ 4</t>
  </si>
  <si>
    <r>
      <t xml:space="preserve">งบกลยุทธ์โครงการ  </t>
    </r>
    <r>
      <rPr>
        <b/>
        <sz val="13"/>
        <rFont val="TH SarabunPSK"/>
        <family val="2"/>
      </rPr>
      <t>ครั้งที่ 1 ( 2 ล้าน )</t>
    </r>
  </si>
  <si>
    <t>2 ล้าน = ไปงบประจำ  1 ล้าน /  งบโครงการ 1 ล้าน ( 7 แสน + 3 แสน )</t>
  </si>
  <si>
    <t>28 มิย.62</t>
  </si>
  <si>
    <t>ฎ.820</t>
  </si>
  <si>
    <t>ทีโอที  พค.62</t>
  </si>
  <si>
    <t>พี.461</t>
  </si>
  <si>
    <t>พี.478</t>
  </si>
  <si>
    <t>ฎ.821</t>
  </si>
  <si>
    <t>ธนิษฐา/ชารินี</t>
  </si>
  <si>
    <t>พัฒนาผู้บริหาร/บุคลากรทางการศึกษา ให้มีสมรรถนะ</t>
  </si>
  <si>
    <t xml:space="preserve">  เหลือจากจัดสรร</t>
  </si>
  <si>
    <t>พนง.ลาออก พค.62 (นส.พรทิพย์)</t>
  </si>
  <si>
    <t>6 มิย.62</t>
  </si>
  <si>
    <t>ศน.พัชรินทร์ ยืมเงิน</t>
  </si>
  <si>
    <t>ฎ.709</t>
  </si>
  <si>
    <t>คืนเงินยืมปาริชาติ ฎ.545</t>
  </si>
  <si>
    <t>ฎ.829</t>
  </si>
  <si>
    <t>1 กค.62</t>
  </si>
  <si>
    <t>ฎ.828</t>
  </si>
  <si>
    <t>ค่าน้ำดื่ม มิย.62</t>
  </si>
  <si>
    <t>ไอ.333</t>
  </si>
  <si>
    <t>ซ๋อมประตูห้องน้ำ</t>
  </si>
  <si>
    <t>ไอ.335</t>
  </si>
  <si>
    <t>ค่าเช่าเน็ต มิย.62</t>
  </si>
  <si>
    <t>ไอ.336</t>
  </si>
  <si>
    <t>3 กค.62</t>
  </si>
  <si>
    <t>ไอ.340</t>
  </si>
  <si>
    <t>ไอ.341</t>
  </si>
  <si>
    <t>ไอ.342</t>
  </si>
  <si>
    <t>ไอ.343</t>
  </si>
  <si>
    <t>ไอ.344</t>
  </si>
  <si>
    <t>ไอ.345</t>
  </si>
  <si>
    <t>ไอ.346</t>
  </si>
  <si>
    <t>4 กค.62</t>
  </si>
  <si>
    <t>ไอ.347</t>
  </si>
  <si>
    <t>ไอ.349</t>
  </si>
  <si>
    <t>ไอ.337</t>
  </si>
  <si>
    <t>ไอ.338</t>
  </si>
  <si>
    <t>ไอ.339</t>
  </si>
  <si>
    <t>ฎ.850</t>
  </si>
  <si>
    <t>ฎ.848</t>
  </si>
  <si>
    <t>เงินยืม ชารินี</t>
  </si>
  <si>
    <t>ฎ.849</t>
  </si>
  <si>
    <t>พี.502</t>
  </si>
  <si>
    <t>คชจ.อบรมทางไกลครูที่จัดการเรียนรู้สุขภาวะ</t>
  </si>
  <si>
    <t>ว. 2744</t>
  </si>
  <si>
    <t>ค่าเดินทางประชุมระบบประกันคุณภาพ จ.อุดรธานี</t>
  </si>
  <si>
    <t>ไอ.351</t>
  </si>
  <si>
    <t>เบิกของเดือน มิย.62</t>
  </si>
  <si>
    <t>ไอ.352</t>
  </si>
  <si>
    <t>ค่าสื่อ ต่อต้านการทุจริต</t>
  </si>
  <si>
    <t>ประชุม IIT  12 มิย.62</t>
  </si>
  <si>
    <t>ฎ.852</t>
  </si>
  <si>
    <t>ค่าเดินทาง ศน.รังสิมา,เสาวภา</t>
  </si>
  <si>
    <t>4 กคต.62</t>
  </si>
  <si>
    <t>ฎ.853</t>
  </si>
  <si>
    <t>ฎ.854</t>
  </si>
  <si>
    <t>เบิกค่าไฟฟ้า มิย.62</t>
  </si>
  <si>
    <t>5 กค.62</t>
  </si>
  <si>
    <t>ฎ.861</t>
  </si>
  <si>
    <t>ฎ.855</t>
  </si>
  <si>
    <t>ฎ.857</t>
  </si>
  <si>
    <t>ฎ.859</t>
  </si>
  <si>
    <t>ฎ.864</t>
  </si>
  <si>
    <t>ฎ.865</t>
  </si>
  <si>
    <t>ฎ.867</t>
  </si>
  <si>
    <t>8 กค.62</t>
  </si>
  <si>
    <t>ไอ.353</t>
  </si>
  <si>
    <t>ไอ.356</t>
  </si>
  <si>
    <t>ไอ.354</t>
  </si>
  <si>
    <t>ไอ.355</t>
  </si>
  <si>
    <t>เบิก 4 ราย มิย.62</t>
  </si>
  <si>
    <t>เบิก 1 ราย มิย.62</t>
  </si>
  <si>
    <t>ฎ.874</t>
  </si>
  <si>
    <t>ฎ.873</t>
  </si>
  <si>
    <t>10 กค.62</t>
  </si>
  <si>
    <t>เบิกค่าประปา มิย.62</t>
  </si>
  <si>
    <t>ฎ.878</t>
  </si>
  <si>
    <t>เบิกค่าไปรษณีย์ มิย.62</t>
  </si>
  <si>
    <t>ฎ.888</t>
  </si>
  <si>
    <t>เงินยืม ศิริพรรณ ประชุม 2 กค.62</t>
  </si>
  <si>
    <t>9 ค.62</t>
  </si>
  <si>
    <t>ว. 2853</t>
  </si>
  <si>
    <t>คชจ.อบรมกลุ่มสาระวิทยาการคำนวณ (Com. Science</t>
  </si>
  <si>
    <t>ค่าเช่าบ้าน เพิ่มเติม</t>
  </si>
  <si>
    <t>9 กค.62</t>
  </si>
  <si>
    <t>ว. 2822</t>
  </si>
  <si>
    <t>ว.2829</t>
  </si>
  <si>
    <t>เงินสมทบของ ครูพี่เลี้ยงฯ (ปี.62)</t>
  </si>
  <si>
    <t>ร.39004</t>
  </si>
  <si>
    <t>ว. 2807</t>
  </si>
  <si>
    <t>โรงเรียนต้นแบบการศึกษาปฐมวัยไฮสโคป(HighScope</t>
  </si>
  <si>
    <t>รร.อนุบาลบึงฯ</t>
  </si>
  <si>
    <t>โครงการบ้านวิทย์ฯ น้อย ปี 2562 (จัดสรร 68 ร.ร.)</t>
  </si>
  <si>
    <t>ยางสาว</t>
  </si>
  <si>
    <t>วังปลา</t>
  </si>
  <si>
    <t>ด่านไทรสามัคคี</t>
  </si>
  <si>
    <t>ซับเดื่อ</t>
  </si>
  <si>
    <t>เนินสมบูรณ์</t>
  </si>
  <si>
    <t>ซับวารินทร์</t>
  </si>
  <si>
    <t>วังขาม</t>
  </si>
  <si>
    <t>คลองบง</t>
  </si>
  <si>
    <t>ห้วยตลาด</t>
  </si>
  <si>
    <t>ท่าโรง</t>
  </si>
  <si>
    <t>ภูน้ำหยด</t>
  </si>
  <si>
    <t>หนองสะแกสี่</t>
  </si>
  <si>
    <t>ไทรทอง (หนองไผ่)</t>
  </si>
  <si>
    <t>ฟูบสะแก</t>
  </si>
  <si>
    <t>ร่องหอยพัฒนา</t>
  </si>
  <si>
    <t>ราษฎร์เจริญ</t>
  </si>
  <si>
    <t>วังเหว</t>
  </si>
  <si>
    <t>ลำพาด</t>
  </si>
  <si>
    <t>เนินสวรรค์</t>
  </si>
  <si>
    <t>ซับกระถินทอง</t>
  </si>
  <si>
    <t>บัววัฒนา</t>
  </si>
  <si>
    <t>พนมเพชร</t>
  </si>
  <si>
    <t>ด่านเจิรญชัย</t>
  </si>
  <si>
    <t>คลองกรวด</t>
  </si>
  <si>
    <t>ซับสามัคคี</t>
  </si>
  <si>
    <t>ซับสำราญเหนือ</t>
  </si>
  <si>
    <t>ท่าสวาย</t>
  </si>
  <si>
    <t>เนินมะค่า</t>
  </si>
  <si>
    <t>นาวังแหน</t>
  </si>
  <si>
    <t>สระเกษ</t>
  </si>
  <si>
    <t>เขาคลัง</t>
  </si>
  <si>
    <t>วังน้อย</t>
  </si>
  <si>
    <t>ไทรทอง (วิเชียรบุรี)</t>
  </si>
  <si>
    <t>ไทรงาม</t>
  </si>
  <si>
    <t>คลองตะคร้อ</t>
  </si>
  <si>
    <t>ซับกระโซ่</t>
  </si>
  <si>
    <t>คลองกระโบน</t>
  </si>
  <si>
    <t>แควป่าสัก</t>
  </si>
  <si>
    <t>ซับน้อยพัฒนา</t>
  </si>
  <si>
    <t>หนองหมู</t>
  </si>
  <si>
    <t>หนองพลวง</t>
  </si>
  <si>
    <t>เขาสูงฯ</t>
  </si>
  <si>
    <t>ซับตะเคียนทอง</t>
  </si>
  <si>
    <t>นาสวรรค์</t>
  </si>
  <si>
    <t>ปางยาง</t>
  </si>
  <si>
    <t>โคกหิน</t>
  </si>
  <si>
    <t>หัวโตก</t>
  </si>
  <si>
    <t>ซับบอน</t>
  </si>
  <si>
    <t>ม่วงชุม</t>
  </si>
  <si>
    <t>โคกสะอาด</t>
  </si>
  <si>
    <t>วังไลย์</t>
  </si>
  <si>
    <t>สันติธรรม</t>
  </si>
  <si>
    <t>ไอ.363</t>
  </si>
  <si>
    <t>ป้าย ประชาสัมพันธ์ /รับผอ.</t>
  </si>
  <si>
    <t>ค่าจ้างพนง.ขับรถ มิย.62</t>
  </si>
  <si>
    <t>ฎ.879</t>
  </si>
  <si>
    <t>ฎ.880</t>
  </si>
  <si>
    <t>ค่าซ่อมบำรุงรถฯ</t>
  </si>
  <si>
    <t>ฎ..881</t>
  </si>
  <si>
    <t>ค่าเดินทาง สิทธิกร, ธีรพงศ์</t>
  </si>
  <si>
    <t>ฎ.885</t>
  </si>
  <si>
    <t>รร.ชุมชนบ้านท่าเสา</t>
  </si>
  <si>
    <t>รร.บ้านปู่จ้าว</t>
  </si>
  <si>
    <t>รร.บ้านเขาพลวง</t>
  </si>
  <si>
    <t>รร.บ้านเขายางโปร่ง</t>
  </si>
  <si>
    <t>ค่าจ้างเหมารถไปโคราช</t>
  </si>
  <si>
    <t>ตัดไปงบค่าเช่าอินเตอรเน็ต สัญญาที่ 1</t>
  </si>
  <si>
    <t>23 กค.62</t>
  </si>
  <si>
    <t>12.4 ค่าเช่าอินเตอร์เน็ตสำนักงาน</t>
  </si>
  <si>
    <t>รร.บ้านพญาวัง</t>
  </si>
  <si>
    <t>รร.บ้านโพทะเลประชาสรรค็</t>
  </si>
  <si>
    <t>รร.บ้านสันเจริญโป่งสะทอน</t>
  </si>
  <si>
    <t>งบ 1,445,000</t>
  </si>
  <si>
    <t>ค่าพาหนะภาคเรียน 1/2562, และเพิ่มเติม</t>
  </si>
  <si>
    <t>งบ  225,000</t>
  </si>
  <si>
    <t xml:space="preserve"> คงเหลือจากจัดสรร</t>
  </si>
  <si>
    <t>ฎ.886</t>
  </si>
  <si>
    <t>11 กค.62</t>
  </si>
  <si>
    <t>ฎ.890</t>
  </si>
  <si>
    <t>ฎ.530+894</t>
  </si>
  <si>
    <t>12 กค.62</t>
  </si>
  <si>
    <t>ฎ.894</t>
  </si>
  <si>
    <t>ฎ.902</t>
  </si>
  <si>
    <t>ฎ.901</t>
  </si>
  <si>
    <t>ฎ.899</t>
  </si>
  <si>
    <t>ฎ.917</t>
  </si>
  <si>
    <t>18 กค.62</t>
  </si>
  <si>
    <t>ฎ.921</t>
  </si>
  <si>
    <t>ฎ.922</t>
  </si>
  <si>
    <t>ฎ.920</t>
  </si>
  <si>
    <t>ค่าจ้างซักผ้าคลุมโต๊ะห้องประชุม</t>
  </si>
  <si>
    <t>ไอ.368</t>
  </si>
  <si>
    <t>ฎ.889</t>
  </si>
  <si>
    <t>ค่าเดินทางพรรณทิพย์, อรพรรณ</t>
  </si>
  <si>
    <t>ไอ.369</t>
  </si>
  <si>
    <t>ค่าเดินทางอบรมโปรแกรมมิ่งในโรงเรียน</t>
  </si>
  <si>
    <t>ว.1233</t>
  </si>
  <si>
    <t>ค่าเดินทางประชุมรร.ต้นแบบประกันคุณภาพห้องเรียน</t>
  </si>
  <si>
    <t>22 กค.62</t>
  </si>
  <si>
    <t>ว. 3032</t>
  </si>
  <si>
    <t>ว. 2812</t>
  </si>
  <si>
    <t>19 กค.62</t>
  </si>
  <si>
    <t>ว. 3016</t>
  </si>
  <si>
    <t>เดินทางประชุมแนะแนวศึกษาต่อ/ มีงานทำ</t>
  </si>
  <si>
    <t>15 กค.62</t>
  </si>
  <si>
    <t>พี.534</t>
  </si>
  <si>
    <t>16 กค.62</t>
  </si>
  <si>
    <t>พี.535</t>
  </si>
  <si>
    <t>14 กค.62</t>
  </si>
  <si>
    <t>13 กค.62</t>
  </si>
  <si>
    <t>15กค.62</t>
  </si>
  <si>
    <t>พี.553</t>
  </si>
  <si>
    <t>เบิก 9 คน</t>
  </si>
  <si>
    <t>ค่าเดินทางศึกษานิเทศก์แข่งขันภาษาไทย</t>
  </si>
  <si>
    <t>ว. 3007</t>
  </si>
  <si>
    <t>พ.553</t>
  </si>
  <si>
    <t>ฎ.968</t>
  </si>
  <si>
    <t>ว. 2915</t>
  </si>
  <si>
    <t>ค่าตอบแทนพนง.  ครั้งที่ 4 (กค.-กย.)</t>
  </si>
  <si>
    <t xml:space="preserve"> ประกันสังคม พนง.ราชการ ค.4</t>
  </si>
  <si>
    <t>กค.-กย.62</t>
  </si>
  <si>
    <t>ตัดไป 2,593</t>
  </si>
  <si>
    <t>เงินสมทบพนง.ราชการ (ตค-ธค..62) 3 เดือน</t>
  </si>
  <si>
    <t>ไอ.373</t>
  </si>
  <si>
    <t>ฎ.895</t>
  </si>
  <si>
    <t>ฎ.896</t>
  </si>
  <si>
    <t>ฎ.898</t>
  </si>
  <si>
    <t>ค่าเดินทาง จุฑารัตน์2</t>
  </si>
  <si>
    <t>ฎ.892</t>
  </si>
  <si>
    <t>เงินยืม คะนึง</t>
  </si>
  <si>
    <t>ฎ.903</t>
  </si>
  <si>
    <t>เบิกค่าเดินทางครู 2 ราย</t>
  </si>
  <si>
    <t>ฎ.893</t>
  </si>
  <si>
    <t>ฎ.916</t>
  </si>
  <si>
    <t>เบิก กค.62</t>
  </si>
  <si>
    <t>พี.537</t>
  </si>
  <si>
    <t>ฎ.919</t>
  </si>
  <si>
    <t>ฎ.923</t>
  </si>
  <si>
    <t>ฎ.926</t>
  </si>
  <si>
    <t>ไอ.374</t>
  </si>
  <si>
    <t>ไอ.384</t>
  </si>
  <si>
    <t>ค่าจัดทำเอกสารดาวเทียม</t>
  </si>
  <si>
    <t>ไอ.383</t>
  </si>
  <si>
    <t>ไอ.382</t>
  </si>
  <si>
    <t>ฎ.928</t>
  </si>
  <si>
    <t>ฎ.931</t>
  </si>
  <si>
    <t>ค่าซ่อมบำรุงรถ</t>
  </si>
  <si>
    <t>ฎ.935</t>
  </si>
  <si>
    <t>ฎ.909</t>
  </si>
  <si>
    <t>ฎ.936</t>
  </si>
  <si>
    <t>ฎ.967</t>
  </si>
  <si>
    <t>คชจ.ประชุม อรรพรรณ+สุกันยา</t>
  </si>
  <si>
    <t>ค่าจัดทำเอกสารแผนปฏิบัติการ</t>
  </si>
  <si>
    <t>ฎ.929</t>
  </si>
  <si>
    <t>ค่าวัสดุแห่เทียนเข้าพรรษา</t>
  </si>
  <si>
    <t>ฎ.930</t>
  </si>
  <si>
    <t>วัสดุ สนง.</t>
  </si>
  <si>
    <t>ซื้อต้นไม้</t>
  </si>
  <si>
    <t>ค่าน้ำดื่ม กค.62</t>
  </si>
  <si>
    <t>ไวนิลพระบรมราโชบาย</t>
  </si>
  <si>
    <t>สรุปรายละเอียดการเบิกจ่ายเงิน (โครงการ)</t>
  </si>
  <si>
    <t>รร.บ้านแก่งหินปูน</t>
  </si>
  <si>
    <t>ซ่อมแซมฝ้าเพดานอาคารสำนักงาน</t>
  </si>
  <si>
    <t>30  กค.62</t>
  </si>
  <si>
    <t>ว. 3152</t>
  </si>
  <si>
    <t>เงินอุดหนุนภาคเรียน 1/62 (30%)</t>
  </si>
  <si>
    <t>ฎ.1009</t>
  </si>
  <si>
    <t>ฎ.1010</t>
  </si>
  <si>
    <t>ฎ.1011</t>
  </si>
  <si>
    <t>ฎ.1012</t>
  </si>
  <si>
    <t>ฎ.1013</t>
  </si>
  <si>
    <t>ส่งเสริมฯ</t>
  </si>
  <si>
    <t>โครงการศิลปหัตถกรรมนักเรียนครั้งที่ 69 ปี 2562</t>
  </si>
  <si>
    <t>โครงการเรียนการสอนภาษาอังกฤฤษ Boot Camp</t>
  </si>
  <si>
    <t>คะนึง คืนเงินยืม</t>
  </si>
  <si>
    <t>คชจ.ประชุมคัดเลือก ผลงานเชิงประจักษ์</t>
  </si>
  <si>
    <t>24 หค.62</t>
  </si>
  <si>
    <t>ฎ.973</t>
  </si>
  <si>
    <t>เบิกเดินทาง ศน.ปัณณธร</t>
  </si>
  <si>
    <t>ค่าเดินทาง ศน.ปัณณธณ, สุปัญญา</t>
  </si>
  <si>
    <t>24 กค.62</t>
  </si>
  <si>
    <t>ฎ.974</t>
  </si>
  <si>
    <t>ฎ.976</t>
  </si>
  <si>
    <t>เบิกค่าเดินทาง นางอุบล หมายเทียม</t>
  </si>
  <si>
    <t>ค่าเดินทาง 6 ราย</t>
  </si>
  <si>
    <t>ฎ.975</t>
  </si>
  <si>
    <t>ฎ.978</t>
  </si>
  <si>
    <t>ไอ.385</t>
  </si>
  <si>
    <t>25 กค.62</t>
  </si>
  <si>
    <t>ฎ.981</t>
  </si>
  <si>
    <t>ฎ.979</t>
  </si>
  <si>
    <t>ฎ.982</t>
  </si>
  <si>
    <t>ฎ.983</t>
  </si>
  <si>
    <t>ฎ.980</t>
  </si>
  <si>
    <t>ค่าเดินทาง ศน.รังสิมา, ลภัสลดา</t>
  </si>
  <si>
    <t>ไอ.388</t>
  </si>
  <si>
    <t>ไอ.389</t>
  </si>
  <si>
    <t>ไอ.387</t>
  </si>
  <si>
    <t>25 กค62</t>
  </si>
  <si>
    <t>ฎ.998</t>
  </si>
  <si>
    <t>คชจ.รับคณะ ผอ.</t>
  </si>
  <si>
    <t>30กค.62</t>
  </si>
  <si>
    <t>ฎ.1004</t>
  </si>
  <si>
    <t>เงินยืม ศน.ปัณณ</t>
  </si>
  <si>
    <t>30 กค.62</t>
  </si>
  <si>
    <t>พี.588</t>
  </si>
  <si>
    <t>เงินยืม ศิริพรรณ ประชุม 5 สิงหาคม 62</t>
  </si>
  <si>
    <t>ไอ.391</t>
  </si>
  <si>
    <t>ไอ.392</t>
  </si>
  <si>
    <t>ถ้ำมงคลชัย</t>
  </si>
  <si>
    <t>ไอ.393</t>
  </si>
  <si>
    <t>ไอ.394</t>
  </si>
  <si>
    <t>ไอ.395</t>
  </si>
  <si>
    <t>ไอ.396</t>
  </si>
  <si>
    <t>ไอ.397</t>
  </si>
  <si>
    <t>ไอ.398</t>
  </si>
  <si>
    <t>เบิกเดือน กค.62</t>
  </si>
  <si>
    <t>ฎ.984</t>
  </si>
  <si>
    <t>ฎ.985</t>
  </si>
  <si>
    <t>ฎ.986</t>
  </si>
  <si>
    <t>ฎ.987</t>
  </si>
  <si>
    <t>เบิกของ กค.62</t>
  </si>
  <si>
    <t>ฎ.989</t>
  </si>
  <si>
    <t>ฎ.988</t>
  </si>
  <si>
    <t>ฎ.990</t>
  </si>
  <si>
    <t>ฎ.991</t>
  </si>
  <si>
    <t>ฎ.992</t>
  </si>
  <si>
    <t>31 กค.62</t>
  </si>
  <si>
    <t>ว. 3135</t>
  </si>
  <si>
    <t>ค่าเดินทางเสนอผลงาน/ประกวด ธรรมาภิบาล ร.ร.</t>
  </si>
  <si>
    <t>การคัดเลือกนักเรียน/รร. รับรางวัลพระราชทาน</t>
  </si>
  <si>
    <t>ว. 3180</t>
  </si>
  <si>
    <t>สุกัญญา/ อน.</t>
  </si>
  <si>
    <t>ขยายผลการใช้โปรแกรม ระบบ Offiline</t>
  </si>
  <si>
    <t>ว. 3164</t>
  </si>
  <si>
    <t>ว. 3218</t>
  </si>
  <si>
    <t xml:space="preserve">31 กค.62 </t>
  </si>
  <si>
    <t>ว. 3213</t>
  </si>
  <si>
    <t>คชจ.ประชุม ผอ.เขต/ รองผอ.เขต ทั่วประเทศ</t>
  </si>
  <si>
    <t>อริศรา/ อน.</t>
  </si>
  <si>
    <t>พี589</t>
  </si>
  <si>
    <t>เงินยืม พัชรินทร์</t>
  </si>
  <si>
    <t>2 สค.62</t>
  </si>
  <si>
    <t>ว. 3262</t>
  </si>
  <si>
    <t>พัฒนานวัตกรรม รร.คุณภาพ การสร้างจิตสำนึกฯ</t>
  </si>
  <si>
    <t>เบิกค่าไฟฟ้า กค.62</t>
  </si>
  <si>
    <t>ฎ.1024</t>
  </si>
  <si>
    <t>เงินยืม ศน.สุปัญญา</t>
  </si>
  <si>
    <t xml:space="preserve"> จัดสรรงบให้จำนวน  20   ร.ร.</t>
  </si>
  <si>
    <t>รร.บ่อไทย</t>
  </si>
  <si>
    <t>ซื้อกรอบรูป</t>
  </si>
  <si>
    <t>นันนา</t>
  </si>
  <si>
    <t>คืนเงินยืม ชารินี</t>
  </si>
  <si>
    <t>6 สค.62</t>
  </si>
  <si>
    <t>ยืมเงิน (ธนิษฐา)</t>
  </si>
  <si>
    <t>จ้างเหมารถ</t>
  </si>
  <si>
    <t>จ้างป้ายไวนิล</t>
  </si>
  <si>
    <t>ว. 3093</t>
  </si>
  <si>
    <t>สพฐ. ดึงงปม.กลับคืน</t>
  </si>
  <si>
    <t>พี.449</t>
  </si>
  <si>
    <t>เบิกของเดือน กค.62</t>
  </si>
  <si>
    <t>N3091</t>
  </si>
  <si>
    <t>9สค.62</t>
  </si>
  <si>
    <t>ค่าอาหารประชุม TEPE Online(14 มค., 12 มิย )</t>
  </si>
  <si>
    <t>ประชุมทำฐานข้อมูล (วันที่30 กค.62)</t>
  </si>
  <si>
    <t>ประชุม รับนโยบาย (30 กค.62)</t>
  </si>
  <si>
    <t>ประชุม รับการนิเทศติดตามฯ (3 กค.62)</t>
  </si>
  <si>
    <t>ประชุม รับนโยบาย ผอ. (26 กค.62)</t>
  </si>
  <si>
    <t>ประชุม พุธเช้า (5-26 มิย.62)</t>
  </si>
  <si>
    <t>ไอ.399</t>
  </si>
  <si>
    <t>ไอ.400</t>
  </si>
  <si>
    <t>ไอ.401</t>
  </si>
  <si>
    <t>ไอ.402</t>
  </si>
  <si>
    <t>ไอ.403</t>
  </si>
  <si>
    <t>พี.598</t>
  </si>
  <si>
    <t>ยพ598</t>
  </si>
  <si>
    <t>พี598</t>
  </si>
  <si>
    <t>ไอ.404</t>
  </si>
  <si>
    <t>ฎ.1034</t>
  </si>
  <si>
    <t>ru.601</t>
  </si>
  <si>
    <t>เบิก 89 ราย กค.62</t>
  </si>
  <si>
    <t>เบิก 9 ราย กค.62</t>
  </si>
  <si>
    <t>เบิก 1 ราย กค.62</t>
  </si>
  <si>
    <t>ฎ.1039</t>
  </si>
  <si>
    <t>ยืมค่าเดินทาง รังสิมา</t>
  </si>
  <si>
    <t>ฎ.1047</t>
  </si>
  <si>
    <t>ฎ.1041</t>
  </si>
  <si>
    <t>ฎ.1040</t>
  </si>
  <si>
    <t>ไอ.407</t>
  </si>
  <si>
    <t>ไอ.408</t>
  </si>
  <si>
    <t>ไอ.409</t>
  </si>
  <si>
    <t>ไอ.410</t>
  </si>
  <si>
    <t>ไอ.411</t>
  </si>
  <si>
    <t>ไอ.406</t>
  </si>
  <si>
    <t>ค่าเก็บขยะ เมย.62 - กค.62</t>
  </si>
  <si>
    <t>ฎ.1049</t>
  </si>
  <si>
    <t>7 สค.62</t>
  </si>
  <si>
    <t>เบิกค่าไปรษณีย์ กค.62</t>
  </si>
  <si>
    <t>ฎ.1050</t>
  </si>
  <si>
    <t>ฎ.1048</t>
  </si>
  <si>
    <t>ฎ.1051</t>
  </si>
  <si>
    <t>เบิก กค. 3 ราย</t>
  </si>
  <si>
    <t>เบิก 13 ราย กค.62</t>
  </si>
  <si>
    <t>พี.602</t>
  </si>
  <si>
    <t>พี.614</t>
  </si>
  <si>
    <t>8 สค.62</t>
  </si>
  <si>
    <t>ไอ.415</t>
  </si>
  <si>
    <t>พี.615</t>
  </si>
  <si>
    <t>เบิกของ สค.62</t>
  </si>
  <si>
    <t>เบิกของ กย.62</t>
  </si>
  <si>
    <t>ค่าเช่าเน็ต กค.62</t>
  </si>
  <si>
    <t>ค่าเช่าเน็ต สค.62</t>
  </si>
  <si>
    <t>ค่าเช่าเน็ต กย.62</t>
  </si>
  <si>
    <t>ไอ.414</t>
  </si>
  <si>
    <t>ไอ.416</t>
  </si>
  <si>
    <t>เบิกค่าประปา กค.62</t>
  </si>
  <si>
    <t>ฎ.1063</t>
  </si>
  <si>
    <t>ฎ.1060</t>
  </si>
  <si>
    <t>ฎ.1061</t>
  </si>
  <si>
    <t>ค่าเดินทาง อรพรรณ</t>
  </si>
  <si>
    <t>ฎ.1071</t>
  </si>
  <si>
    <t>9 สค.62</t>
  </si>
  <si>
    <t>ไอ.419</t>
  </si>
  <si>
    <t>ไอ.420</t>
  </si>
  <si>
    <t>ไอ.421</t>
  </si>
  <si>
    <t>ไอ.422</t>
  </si>
  <si>
    <t>ฎ.1070</t>
  </si>
  <si>
    <t>ฎ.1069</t>
  </si>
  <si>
    <t>ฎ.1072</t>
  </si>
  <si>
    <t>ฎ.1073</t>
  </si>
  <si>
    <t>ฎ.1074</t>
  </si>
  <si>
    <t>เบิกซ่อมปริ้นเตอร์ (กลุ่มการเงินฯ,อน.)</t>
  </si>
  <si>
    <t>เดือน สค.62</t>
  </si>
  <si>
    <t>เดือน กย.62</t>
  </si>
  <si>
    <t>เบิกเดือน สค.62</t>
  </si>
  <si>
    <t>เบิกเดือน กย.62</t>
  </si>
  <si>
    <t>ปัทมาภรณ์ คืนเงินสด</t>
  </si>
  <si>
    <t xml:space="preserve">ซ่อมฝ้าฯ </t>
  </si>
  <si>
    <t>เงินยืม ศนขวัญ (ยอดจัด 275,800 )</t>
  </si>
  <si>
    <t xml:space="preserve"> เงินยืม ศน.ลภัสลดา</t>
  </si>
  <si>
    <t>13 สค.62</t>
  </si>
  <si>
    <t>ยอด 38,760.-</t>
  </si>
  <si>
    <t>ร.ร.อนุบาลหนองไผ่</t>
  </si>
  <si>
    <t>พี.625</t>
  </si>
  <si>
    <t>อรพรรณ  ยืมเงิน</t>
  </si>
  <si>
    <t>ฎ.1077</t>
  </si>
  <si>
    <t>โทรศัพท์มือถือ กค.62</t>
  </si>
  <si>
    <t>5 สค.62</t>
  </si>
  <si>
    <t>ว 3285</t>
  </si>
  <si>
    <t>บริหารจัดการประกันคุณภาพภายในสถานศึกษา</t>
  </si>
  <si>
    <t xml:space="preserve"> สพฐ. ดึงงบกลับคืน</t>
  </si>
  <si>
    <t>ค่าน้ำดื่ม สค.62</t>
  </si>
  <si>
    <t>ค่าเดินทาง รองสมหมาย+ 3 ราย</t>
  </si>
  <si>
    <t>ถ่ายเอกสาร ยกย่องฯ</t>
  </si>
  <si>
    <t>21 สค.62</t>
  </si>
  <si>
    <t>เบิกของ 9 รร. มีค.62</t>
  </si>
  <si>
    <t>เบิกของ พค./ 30 ราย</t>
  </si>
  <si>
    <t>เบิก พค.62/ 1 ราย</t>
  </si>
  <si>
    <t>ฎ.743</t>
  </si>
  <si>
    <t>ฎ.866</t>
  </si>
  <si>
    <t>เบิก 6 ราย มิย.62</t>
  </si>
  <si>
    <t>เบิกธุรการ มิย.62 100 ราย</t>
  </si>
  <si>
    <t>เบิกธุรการ 9000/ 1 ราย</t>
  </si>
  <si>
    <t>ฎ.868</t>
  </si>
  <si>
    <t>ฎ.1037</t>
  </si>
  <si>
    <t>ฎ.1038</t>
  </si>
  <si>
    <t>ฎ.1052</t>
  </si>
  <si>
    <t>ฎ.1053</t>
  </si>
  <si>
    <t>ฎ.1101</t>
  </si>
  <si>
    <t>ฎ.1102</t>
  </si>
  <si>
    <t>เบิก สค.62</t>
  </si>
  <si>
    <t>ร.38008</t>
  </si>
  <si>
    <t>คืนเข้างบ พนง.ลาออก</t>
  </si>
  <si>
    <t>ค่าซื้อวัสดุ</t>
  </si>
  <si>
    <t>23 สค.62</t>
  </si>
  <si>
    <t>19 สค.62</t>
  </si>
  <si>
    <t>พี.630</t>
  </si>
  <si>
    <t>พี.628</t>
  </si>
  <si>
    <t>พี628</t>
  </si>
  <si>
    <t>พี.629</t>
  </si>
  <si>
    <t>พี629</t>
  </si>
  <si>
    <t xml:space="preserve">ณ  วันที่  31 สิงหาคม  2562             </t>
  </si>
  <si>
    <t>รร.บ้านหนองหมู</t>
  </si>
  <si>
    <t>รร.ชุมชนบ้านโภชน์</t>
  </si>
  <si>
    <t>ว. 3414</t>
  </si>
  <si>
    <t>โครงการสร้างจิตสำนึกฯ สิ่งแวดล้อม</t>
  </si>
  <si>
    <t>อนุบาลบึงสามพัน (ซับสมอทอด)</t>
  </si>
  <si>
    <t>กม.35</t>
  </si>
  <si>
    <t>ชุมชนวังพิกุล</t>
  </si>
  <si>
    <t>บึงนาจาน</t>
  </si>
  <si>
    <t>เนินสะอาด</t>
  </si>
  <si>
    <t>ศรีมงคล</t>
  </si>
  <si>
    <t>โคกคงสมโภชน์</t>
  </si>
  <si>
    <t>ร.33021</t>
  </si>
  <si>
    <t>N3082</t>
  </si>
  <si>
    <t>ว. 3415</t>
  </si>
  <si>
    <t>ค่าเดินทางประชุมทำแผนยุทธศาสตร์ชาติ 20 ปี</t>
  </si>
  <si>
    <t>N3123</t>
  </si>
  <si>
    <t>ว. 3446</t>
  </si>
  <si>
    <t>โครงการศิลปหัตถกรรมระดับเขตพื้นที่  22 ศูนย์</t>
  </si>
  <si>
    <t>นาเฉลียง ห้วยโป่งยางงาม</t>
  </si>
  <si>
    <t>หนองไผ่</t>
  </si>
  <si>
    <t>บ้านโภชน์บัววัฒนา</t>
  </si>
  <si>
    <t>ท่าแดงวังท่าดี</t>
  </si>
  <si>
    <t>วังโบสถ์บ่อไทย</t>
  </si>
  <si>
    <t>ท่าด้วง</t>
  </si>
  <si>
    <t>กองทูลเพชรละคร</t>
  </si>
  <si>
    <t>บึงสามพันหนองแจง</t>
  </si>
  <si>
    <t>ซับสมอทอดซับไม้แดง</t>
  </si>
  <si>
    <t>วังพิกุลศรีมงคล</t>
  </si>
  <si>
    <t>กันจุสระแก้ว</t>
  </si>
  <si>
    <t>ท่าโรงโคกปรง</t>
  </si>
  <si>
    <t>สระประดู่</t>
  </si>
  <si>
    <t>พุเตยพุขาม</t>
  </si>
  <si>
    <t>วังใหญ่ภูน้ำหยด</t>
  </si>
  <si>
    <t>ซับสมบูรณ์ซับน้อย</t>
  </si>
  <si>
    <t>บ่อรัง</t>
  </si>
  <si>
    <t>น้ำร้อนยางสาว</t>
  </si>
  <si>
    <t>โคกสะอาดประดู่งาม</t>
  </si>
  <si>
    <t>ศรีเทพหนองย่างทอย</t>
  </si>
  <si>
    <t>คลองกระจัง</t>
  </si>
  <si>
    <t>ค่าบริหารจัดการฯ 1/2562 (เพิ่มเติม) ครั้งที่ 2</t>
  </si>
  <si>
    <t>ค่าซ่อมบำรุงอุปกรณ์ DLTV  24 ร.ร.</t>
  </si>
  <si>
    <t>ว 3449</t>
  </si>
  <si>
    <t>ค่าเดินทางประชมผอ.กลุ่มนโยบายและแผน</t>
  </si>
  <si>
    <t>ผอ.คะนึง</t>
  </si>
  <si>
    <t>ว. 3333</t>
  </si>
  <si>
    <t>ค่าเดินทางประชุมประเมินสมรรถนะผู้เรียน รุ่นที่ 1 NT</t>
  </si>
  <si>
    <t>ว. 3331</t>
  </si>
  <si>
    <t>ค่าเดินทางประชุมประเมินภายนอก รอบสี่</t>
  </si>
  <si>
    <t>ว. 3330</t>
  </si>
  <si>
    <t>ค่าเดินทางประชุมครูผู้สอนสาระคณิตฯ  PISA</t>
  </si>
  <si>
    <t>บ้านซํบกระถินทอง</t>
  </si>
  <si>
    <t>ฎ.1089</t>
  </si>
  <si>
    <t>19 สค</t>
  </si>
  <si>
    <t>ฎ.1088</t>
  </si>
  <si>
    <t>ไอ.424</t>
  </si>
  <si>
    <t>พี.632</t>
  </si>
  <si>
    <t>ฎ.856+I633</t>
  </si>
  <si>
    <t>ไอ425</t>
  </si>
  <si>
    <t>ค่าจ้างพนง.ขับรถ กค.62</t>
  </si>
  <si>
    <t>พี.633</t>
  </si>
  <si>
    <t>19สค</t>
  </si>
  <si>
    <t>ไอ.428</t>
  </si>
  <si>
    <t>I425</t>
  </si>
  <si>
    <t>19 สค.</t>
  </si>
  <si>
    <t>ไอ.425</t>
  </si>
  <si>
    <t>พี.637</t>
  </si>
  <si>
    <t>พี.638</t>
  </si>
  <si>
    <t>ไอ.430</t>
  </si>
  <si>
    <t>ไอ.431</t>
  </si>
  <si>
    <t>ฎ.1145</t>
  </si>
  <si>
    <t>ไอ.433</t>
  </si>
  <si>
    <t>22 สค.62</t>
  </si>
  <si>
    <t>ไอ.434</t>
  </si>
  <si>
    <t>ไอ.435</t>
  </si>
  <si>
    <t>ค่าวัสดุวันเฉลิมพระบาทสมเด็จฯ</t>
  </si>
  <si>
    <t>ไอ.438</t>
  </si>
  <si>
    <t>ซ่อมรถ 1 คัน กฉ 1479</t>
  </si>
  <si>
    <t>22 สค</t>
  </si>
  <si>
    <t>ไอ.439</t>
  </si>
  <si>
    <t>ซ่อมรถ 2 คัน 1318, กฉ 1479</t>
  </si>
  <si>
    <t>ไอ.442</t>
  </si>
  <si>
    <t>ซ่อมรถ 1 คัน กฉ 1478</t>
  </si>
  <si>
    <t>ไอ.441</t>
  </si>
  <si>
    <t>ไอ.444</t>
  </si>
  <si>
    <t>ไอ.445</t>
  </si>
  <si>
    <t>เบิกซ่อมปริ้นเตอร์ (กลุ่มอำนวยการ)</t>
  </si>
  <si>
    <t>22 สต</t>
  </si>
  <si>
    <t>ไอ.446</t>
  </si>
  <si>
    <t>ไอ.447</t>
  </si>
  <si>
    <t>ไอ.448</t>
  </si>
  <si>
    <t>ป้ายไวนิล/ พระนางเจ้าสิริกิตต์</t>
  </si>
  <si>
    <t>ป้ายไวนิล/ พระบาทสมเด็จ ร.10</t>
  </si>
  <si>
    <t>ไป.449</t>
  </si>
  <si>
    <t>ไอ.450</t>
  </si>
  <si>
    <t>ไอ.451</t>
  </si>
  <si>
    <t>ไอ.452</t>
  </si>
  <si>
    <t>ฎ.1144</t>
  </si>
  <si>
    <t>เงินยืม ประชุม 28 สค.</t>
  </si>
  <si>
    <t>ไอ.453</t>
  </si>
  <si>
    <t>ไอ.454</t>
  </si>
  <si>
    <t>ไอ.455</t>
  </si>
  <si>
    <t>ไอ.456</t>
  </si>
  <si>
    <t>ไอ.457</t>
  </si>
  <si>
    <t>ไอ.458</t>
  </si>
  <si>
    <t>ไอ.459</t>
  </si>
  <si>
    <t>22 สค.</t>
  </si>
  <si>
    <t>ไอ.432</t>
  </si>
  <si>
    <t>23 สค</t>
  </si>
  <si>
    <t>ฎ.1135</t>
  </si>
  <si>
    <t>ฎ.1136</t>
  </si>
  <si>
    <t>ฎ.1137</t>
  </si>
  <si>
    <t>ฎ.1138</t>
  </si>
  <si>
    <t>ฎ.1146</t>
  </si>
  <si>
    <t>ฎ.1140</t>
  </si>
  <si>
    <t>เบิกของ สค.62 /  74 ราย</t>
  </si>
  <si>
    <t>ฎ.1141</t>
  </si>
  <si>
    <t>เบิกของ สค.62 / 19 ราย</t>
  </si>
  <si>
    <t>223 สค</t>
  </si>
  <si>
    <t>ฎ.1142</t>
  </si>
  <si>
    <t>ฎ.1143</t>
  </si>
  <si>
    <t>โคกสง่านาข้าวดอ</t>
  </si>
  <si>
    <t>แจ้ง 8 สค.</t>
  </si>
  <si>
    <t>ขอเบิกค่าเดินทาง จุฑารัตน์</t>
  </si>
  <si>
    <t>จุทารัตน์</t>
  </si>
  <si>
    <t>ขอเบิกประชุมพูธเช้า (3-31 กค, 7 ส.ค. )</t>
  </si>
  <si>
    <t>เบิกคชจ.ประชุมอัตรากำลัง  13 สค.62</t>
  </si>
  <si>
    <t>ขอเบิกค่าเดินทาง ศน.อมรินทร์</t>
  </si>
  <si>
    <t>เบิกค่าเดินทาง ศน.ปิยะวรรณ์ (1104+1112+504)</t>
  </si>
  <si>
    <t>เบิกค่าเดินทาง นวลจันทร์</t>
  </si>
  <si>
    <t>เบิกค่าเดินทาง กิตติกาญจน์</t>
  </si>
  <si>
    <t>ศิลปฯ</t>
  </si>
  <si>
    <t>อบรม ตสน.</t>
  </si>
  <si>
    <t>เบิกค่าเดินทาง อุมาพร</t>
  </si>
  <si>
    <t xml:space="preserve"> 4 ครั้ง</t>
  </si>
  <si>
    <t>เบิกค่าเดินทาง ปัทมาภรณ์</t>
  </si>
  <si>
    <t>เบิกค่าเดินทาง ปวงอร</t>
  </si>
  <si>
    <t>ค่าเดินทาง รับตราบ้านวิทยฯ ศน.ลภัสลดา</t>
  </si>
  <si>
    <t>ทีโอที มิย.62</t>
  </si>
  <si>
    <t>ทีโอที กค.62</t>
  </si>
  <si>
    <t xml:space="preserve">   ทีโอที กย.62 (รอเบิก)</t>
  </si>
  <si>
    <t xml:space="preserve">   ค่าไฟฟ้า กย.62 (รอเบิก)</t>
  </si>
  <si>
    <t xml:space="preserve">    กย.62 (รอเบิก)</t>
  </si>
  <si>
    <t xml:space="preserve"> รร.บ่อไทย</t>
  </si>
  <si>
    <t xml:space="preserve"> ขอเบิกข้าราชการครู 4 ราย</t>
  </si>
  <si>
    <t>อนวัฒน์ ยืมเงิน</t>
  </si>
  <si>
    <t>ฎ.1134</t>
  </si>
  <si>
    <t>มิย.62</t>
  </si>
  <si>
    <t>พี.222</t>
  </si>
  <si>
    <t>เบิกของ 3 ราย  มีค.62</t>
  </si>
  <si>
    <t>ค่าเดินทาง ของครู 22 ศูนย์</t>
  </si>
  <si>
    <t>วัสดุ</t>
  </si>
  <si>
    <t>ว. 3490</t>
  </si>
  <si>
    <t>ค่าตรวจประเมินผลงานวิชาการ</t>
  </si>
  <si>
    <t>ไม่เบิก</t>
  </si>
  <si>
    <t>ค่าประกันภัยรถยนต์ 1497 พช.</t>
  </si>
  <si>
    <t>เบิกค่าเดินทาง  พรเมษา</t>
  </si>
  <si>
    <t>รับจากค่าซ๋อมรถ</t>
  </si>
  <si>
    <t>ฎ.1023</t>
  </si>
  <si>
    <t>พี578</t>
  </si>
  <si>
    <t>ค่าจัดทำเอกสารรูปเล่ม</t>
  </si>
  <si>
    <t>ค่าจัดทำเอกสารประชุม 200 เล่ม</t>
  </si>
  <si>
    <t>ใช้ต่อ</t>
  </si>
  <si>
    <t>จบ</t>
  </si>
  <si>
    <t>คาทาวีทีอาร์  (ศน.กัญจนา)</t>
  </si>
  <si>
    <t>ศูนย์เครือข่าย ประกันฯ อ.บึงสามพัน</t>
  </si>
  <si>
    <t>ศูนย์เครือข่าย ประกันฯ อ.วิเชียรยรี</t>
  </si>
  <si>
    <t>ศูนย์เครือข่าย ประกันฯ อ.ศรีเทพ</t>
  </si>
  <si>
    <t>ศูนย์เครือข่าย ประกันฯ อ.หนองไผ่</t>
  </si>
  <si>
    <t>26 สค.62</t>
  </si>
  <si>
    <t>เบิกค่าล่วงเวลา กง. (1-15 สค.62)</t>
  </si>
  <si>
    <t>เบิกค่าเดินทาง 2 ราย</t>
  </si>
  <si>
    <t>คขจ.ประชุม 19-20 สค.62</t>
  </si>
  <si>
    <t xml:space="preserve"> เบิกคชจ.เดินทาง</t>
  </si>
  <si>
    <t>พี.672</t>
  </si>
  <si>
    <t>27 สค.62</t>
  </si>
  <si>
    <t>ฎ.1155</t>
  </si>
  <si>
    <t>พี.674</t>
  </si>
  <si>
    <t>ไอ.461</t>
  </si>
  <si>
    <t>ไอ.462</t>
  </si>
  <si>
    <t>ไอ.463</t>
  </si>
  <si>
    <t>ไอ.464</t>
  </si>
  <si>
    <t xml:space="preserve">      รับจาก ค่าน้ำมัน</t>
  </si>
  <si>
    <t xml:space="preserve">      รับจาก ค่าซ่อมรถ</t>
  </si>
  <si>
    <t>ค่าวัสดุ สนง.</t>
  </si>
  <si>
    <t xml:space="preserve">   รับจากงบค่าซ่อมแอร์</t>
  </si>
  <si>
    <t xml:space="preserve">   รับจากงบค่าซ่อมรถ</t>
  </si>
  <si>
    <t xml:space="preserve">     ตัดไปค่าวัสดุ สนง.</t>
  </si>
  <si>
    <t xml:space="preserve">    ตัดไปเป็นค่าวัสดุ</t>
  </si>
  <si>
    <t xml:space="preserve">    ตัดไปเป็นประกันภัยรถฯ</t>
  </si>
  <si>
    <t xml:space="preserve">    ตัดไปเป็นค่าบริหาร สนง.</t>
  </si>
  <si>
    <t xml:space="preserve">   รับจากค่าเลี้ยเลี้ยง</t>
  </si>
  <si>
    <t>โครงการลูกจ้างจิตอาสา ทำความดีด้วยหัวใจ</t>
  </si>
  <si>
    <t>เสาวภา</t>
  </si>
  <si>
    <t>โครงการประกันฯ  (งบแล้กเป้า)  เพิ่มเติม</t>
  </si>
  <si>
    <t>ประชุมซักซ้อมความเข้าใจ รร.ขนาดเล็ก</t>
  </si>
  <si>
    <t>วิจินต์</t>
  </si>
  <si>
    <t>ค่าเดินทาง 2 ราย</t>
  </si>
  <si>
    <t>ค่าเดินทางคณะกรรมการนิเทศ</t>
  </si>
  <si>
    <t>ค่าเอกสาร</t>
  </si>
  <si>
    <t>พี.675</t>
  </si>
  <si>
    <t>เบิกของ สค.62 / 1 ราย</t>
  </si>
  <si>
    <t>งบประกันคุณภาพ รอบสี่  รุ่นที่ 1 (Mock)</t>
  </si>
  <si>
    <t xml:space="preserve"> ยืมค่าตั๋วเครืองบิน</t>
  </si>
  <si>
    <t>พี.562</t>
  </si>
  <si>
    <t xml:space="preserve">ณ  วันที่     สิงหาคม   2562             </t>
  </si>
  <si>
    <t>ค่าทำเอกสาร/เข้าเล่ม</t>
  </si>
  <si>
    <t>ค่าวัสดุอบรม 7-8 กย.</t>
  </si>
  <si>
    <t>จัดทำเอกสาร</t>
  </si>
  <si>
    <t>ป้ายไวนิล</t>
  </si>
  <si>
    <t>ค่าน้ำดื่ม กย.62</t>
  </si>
  <si>
    <t>ซักผ้าคลุมโต๊ะเก้าอี้ ห้องประชุม</t>
  </si>
  <si>
    <t>29 สค.62</t>
  </si>
  <si>
    <t>ฎ.1171</t>
  </si>
  <si>
    <t xml:space="preserve">เงินยืม ศน.ปัณณ </t>
  </si>
  <si>
    <t>28 สค.62</t>
  </si>
  <si>
    <t>ว. 3738</t>
  </si>
  <si>
    <t>ค่าเดินทางประชุมการวัดประเมินผล Onet-NT</t>
  </si>
  <si>
    <t>ยืมประชุมพูธเช้า (4-28 กย. )</t>
  </si>
  <si>
    <t>สุกัญญา   ยืมเงิน</t>
  </si>
  <si>
    <t>ขอเบิกค่าเดินทาง ศน.สุปัญญา</t>
  </si>
  <si>
    <t>เบิกค่าเดินทาง  รังสิมา</t>
  </si>
  <si>
    <t>ศนสุปัญญษ</t>
  </si>
  <si>
    <t>เบิกค่าเดินทาง  นางสาวจงรักษ์</t>
  </si>
  <si>
    <t>ค่าเดินทาง ศน.อมรินทร์</t>
  </si>
  <si>
    <t>ค่าแต่งเวที/ดอกไม้</t>
  </si>
  <si>
    <t>ซื้อวัสดุ</t>
  </si>
  <si>
    <t>30 สค.62</t>
  </si>
  <si>
    <t>ว. 3812</t>
  </si>
  <si>
    <t>ค่าเดินทางประชุมผอ.กลุ่มส่งเสริมฯ</t>
  </si>
  <si>
    <t>N 3074</t>
  </si>
  <si>
    <t>ฎ.1170</t>
  </si>
  <si>
    <t>ฎ.1168</t>
  </si>
  <si>
    <t>ฎ.1169</t>
  </si>
  <si>
    <t>พี.683</t>
  </si>
  <si>
    <t>ค่าเดินทาง ครู 6 ราย</t>
  </si>
  <si>
    <t>ขอเบิกประชุมพูธเช้า (21 ,28 ส.ค. )</t>
  </si>
  <si>
    <t>ขอเบิกค่าเดินทาง ศน.สุปัญญา ไปคลองตะพานหิน</t>
  </si>
  <si>
    <t>ประชุมคณะ</t>
  </si>
  <si>
    <t>ศน.เสาวภาเบิกของ31 สค.-1  กย</t>
  </si>
  <si>
    <t xml:space="preserve"> ค่าประชุม 22 สค., 27 สค.</t>
  </si>
  <si>
    <t>ขอเบิก 19 สค.-29 สค.</t>
  </si>
  <si>
    <t>ค่าเบี้ยเลี้ยง+พาหนะ ประเมิน รร.</t>
  </si>
  <si>
    <t>ยืมเงินประชุมการเลื่อนขั้น งด.</t>
  </si>
  <si>
    <t>ยืมประชุม 9 , 17 กย.</t>
  </si>
  <si>
    <t>26 สค.62 เบิกประชุม</t>
  </si>
  <si>
    <t xml:space="preserve">ณ  วันที่  30  สิงหาคม   2562             </t>
  </si>
  <si>
    <t xml:space="preserve">ณ  วันที่  30  สค.  2562             </t>
  </si>
  <si>
    <t>ปาริชาติ  ยืมเงิน</t>
  </si>
  <si>
    <t xml:space="preserve">ณ  วันที่  30  สิงหาคม   2562              </t>
  </si>
  <si>
    <t>ยืมประชุม 14-15 กย. , 21-22 กย.</t>
  </si>
  <si>
    <t>2 กย.62</t>
  </si>
  <si>
    <t>ไอ.642</t>
  </si>
  <si>
    <t>บ้านแห่งหินปุน</t>
  </si>
  <si>
    <t>ค่าเดินทาง ผอ.กิ่งกาญจน์</t>
  </si>
  <si>
    <t>ฎ.1197</t>
  </si>
  <si>
    <t>4 กย.62</t>
  </si>
  <si>
    <t>ฎ.1196</t>
  </si>
  <si>
    <t xml:space="preserve"> เงินยืม พรรณทิพย์</t>
  </si>
  <si>
    <t>ค่าเดินทาง เสาวภา</t>
  </si>
  <si>
    <t>5 กย.62</t>
  </si>
  <si>
    <t>ค่าเดินทาง จุฑารัตน์</t>
  </si>
  <si>
    <t>ค่าเดินทาง อภิรดี</t>
  </si>
  <si>
    <t>ค่าเดินทางครู 3 ราย (1244+1150+1150)</t>
  </si>
  <si>
    <t xml:space="preserve">   ค่าไฟฟ้า สค.62 เบิก)</t>
  </si>
  <si>
    <t>ค่าเดินทาง รังสิมา</t>
  </si>
  <si>
    <t>ฎ.1172</t>
  </si>
  <si>
    <t>ฎ.1173</t>
  </si>
  <si>
    <t>p.698</t>
  </si>
  <si>
    <t>พี.699</t>
  </si>
  <si>
    <t>ไอ.468</t>
  </si>
  <si>
    <t>ไอ.472</t>
  </si>
  <si>
    <t>ไอ.473</t>
  </si>
  <si>
    <t>ไอ.471</t>
  </si>
  <si>
    <t>พี.705</t>
  </si>
  <si>
    <t>งบประกันฯ  แลกเป้า</t>
  </si>
  <si>
    <t>พี706</t>
  </si>
  <si>
    <t>3 กย.62</t>
  </si>
  <si>
    <t>ไอ.480</t>
  </si>
  <si>
    <t>ไอ.481</t>
  </si>
  <si>
    <t>ไอ.479</t>
  </si>
  <si>
    <t>ไอ.482</t>
  </si>
  <si>
    <t>ไอ.475</t>
  </si>
  <si>
    <t>ไอ.487</t>
  </si>
  <si>
    <t>ไอ.477</t>
  </si>
  <si>
    <t>ไอ.478</t>
  </si>
  <si>
    <t>=</t>
  </si>
  <si>
    <t>ฎ.1187</t>
  </si>
  <si>
    <t>สิทธิกร  ยืมเงิน</t>
  </si>
  <si>
    <t>เบิกค่าเดินทาง ธีรพงศ์/ผอ.เขต</t>
  </si>
  <si>
    <t>ฎ.1177</t>
  </si>
  <si>
    <t>ฎ.1178</t>
  </si>
  <si>
    <t>ฎ.1179</t>
  </si>
  <si>
    <t>เงินยืม ผอ.ผจญ</t>
  </si>
  <si>
    <t>ฎ.1199</t>
  </si>
  <si>
    <t>ฎ.1201</t>
  </si>
  <si>
    <t>ยืมเงิน นส.เจนจิรา โพธิ์ชัย</t>
  </si>
  <si>
    <t>ฎ.1174</t>
  </si>
  <si>
    <t>ฝำ.1180</t>
  </si>
  <si>
    <t>ฎ.1175</t>
  </si>
  <si>
    <t>พี.711</t>
  </si>
  <si>
    <t>คชจ.อบรม</t>
  </si>
  <si>
    <t>5 dp.62</t>
  </si>
  <si>
    <t>ฎ.1212</t>
  </si>
  <si>
    <t>ฎ.1213</t>
  </si>
  <si>
    <t>ฎ.1214</t>
  </si>
  <si>
    <t>5 หย.62</t>
  </si>
  <si>
    <t>ฎ.1215</t>
  </si>
  <si>
    <t>ฎ.1210</t>
  </si>
  <si>
    <t>ฎ.1217</t>
  </si>
  <si>
    <t>ฎ.1218</t>
  </si>
  <si>
    <t>เบิกค่าประปา สิงหา.62</t>
  </si>
  <si>
    <t>ตัดยอดไปค่าน้ำประปา</t>
  </si>
  <si>
    <t>ตัดไปค่าเบี้ยเลี้ยง</t>
  </si>
  <si>
    <t xml:space="preserve">  รับจากค่าซ่อมรถ</t>
  </si>
  <si>
    <t xml:space="preserve"> รังสิมา คืนเงินยืม ฎ.1039</t>
  </si>
  <si>
    <t xml:space="preserve">เงินยืม  รังสิมา </t>
  </si>
  <si>
    <t>ตัดไปเป็นค่าโทรศัพท์</t>
  </si>
  <si>
    <t>รับมาจากค่าไฟฟ้า</t>
  </si>
  <si>
    <t>สรุปรายการเงินงบบริหารจัดการสำนักงาน</t>
  </si>
  <si>
    <t>ณ  วันที่    กันยายน   2562</t>
  </si>
  <si>
    <t>ค่าเดินทาง ศน.</t>
  </si>
  <si>
    <t>คืนเงินสด (คนึง)</t>
  </si>
  <si>
    <t>รับงบประมาณบริหารฯ จาก รหัส 002 (เบี้ยประชุม)</t>
  </si>
  <si>
    <t>รับงบประมาณบริหารฯ จาก รหัส 002  (รวม )</t>
  </si>
  <si>
    <t>ลำตะคร้อ</t>
  </si>
  <si>
    <t xml:space="preserve">รับงบกองทุนลูกจ้าง  รหัส 002 </t>
  </si>
  <si>
    <t xml:space="preserve"> ค่าเก็บขยะ สค.- กย.62</t>
  </si>
  <si>
    <t xml:space="preserve">ณ  วันที่     กันยายน   2562             </t>
  </si>
  <si>
    <t>งบป้องกันและแก้ไขปัญหายาเสพติด</t>
  </si>
  <si>
    <t>รับยอดตัดรายการของงบประจำ/ ซื้อวัสดุ</t>
  </si>
  <si>
    <t>5 กย..62</t>
  </si>
  <si>
    <t>6 กย..62</t>
  </si>
  <si>
    <t>ฎ.1247</t>
  </si>
  <si>
    <t>ณ  วันที่      กันยายน   2562</t>
  </si>
  <si>
    <t>ณ  วันที่      กันยายน    2562</t>
  </si>
  <si>
    <t>เบิกค่าเดินทาง ครู 2 ราย</t>
  </si>
  <si>
    <t>6 กย.62</t>
  </si>
  <si>
    <t>ฎ.1242</t>
  </si>
  <si>
    <t>ค่าเดินทาง คะนึง</t>
  </si>
  <si>
    <t>โครงการบ้านวิทย์ฯ รร.พรหมประชาสรรค์</t>
  </si>
  <si>
    <t>รร.คืนงบ</t>
  </si>
  <si>
    <t xml:space="preserve"> คืนเข้างบกลาง</t>
  </si>
  <si>
    <t xml:space="preserve">ณ  วันที่      กันยายน    2562             </t>
  </si>
  <si>
    <t xml:space="preserve">  คืนเข้างบกลาง</t>
  </si>
  <si>
    <t>ศึกษานิเทศก์</t>
  </si>
  <si>
    <t>(เบิกงบประจำ)</t>
  </si>
  <si>
    <t xml:space="preserve">ณ  วันที่   กันยายน   2562             </t>
  </si>
  <si>
    <t>ไอ.492</t>
  </si>
  <si>
    <t>ไอ.488</t>
  </si>
  <si>
    <t>ยืมเงินประชุมการย้าย 19 กย.</t>
  </si>
  <si>
    <t>10 กย.</t>
  </si>
  <si>
    <t>ค่าตอบแทนล่วงเวลา กง. (15 -31 สค.62)</t>
  </si>
  <si>
    <t>ค่าจ้างเวที/โต๊ะ+เก้าอี้</t>
  </si>
  <si>
    <t>ประชุม 16 กย.</t>
  </si>
  <si>
    <t xml:space="preserve"> 'N 3081</t>
  </si>
  <si>
    <t>p.721</t>
  </si>
  <si>
    <t>พี.721</t>
  </si>
  <si>
    <t>พี.722</t>
  </si>
  <si>
    <t>ฎ.1241</t>
  </si>
  <si>
    <t>ค่าเดินทาง ศน.เล็ก</t>
  </si>
  <si>
    <t>ไอ.483</t>
  </si>
  <si>
    <t>ไอ.490</t>
  </si>
  <si>
    <t>I.494</t>
  </si>
  <si>
    <t>ไอ.493</t>
  </si>
  <si>
    <t>ไอ.494</t>
  </si>
  <si>
    <t>ไ.อ495</t>
  </si>
  <si>
    <t>ไอ.496</t>
  </si>
  <si>
    <t>ไอ.497</t>
  </si>
  <si>
    <t>ไอ.498</t>
  </si>
  <si>
    <t>พี.729</t>
  </si>
  <si>
    <t>ค่าเดินทาง ศน.สุปัญ</t>
  </si>
  <si>
    <t>ฎ.1254</t>
  </si>
  <si>
    <t>ฎ.1249</t>
  </si>
  <si>
    <t>9 กย.62</t>
  </si>
  <si>
    <t>ฎ.1246</t>
  </si>
  <si>
    <t>ฎ.1245</t>
  </si>
  <si>
    <t>ฎ.1244</t>
  </si>
  <si>
    <t>9กย.62</t>
  </si>
  <si>
    <t>ไอ.503</t>
  </si>
  <si>
    <t>ไอ.504</t>
  </si>
  <si>
    <t>ไอ.505</t>
  </si>
  <si>
    <t>ไอ.506</t>
  </si>
  <si>
    <t>ฎ.1255</t>
  </si>
  <si>
    <t>พี.737</t>
  </si>
  <si>
    <t>ไอ.507</t>
  </si>
  <si>
    <t>พี.734</t>
  </si>
  <si>
    <t>พี.736</t>
  </si>
  <si>
    <t>เบิกของ สค.62/  2 ราย)</t>
  </si>
  <si>
    <t>พี.740</t>
  </si>
  <si>
    <t>ไอ.510</t>
  </si>
  <si>
    <t>ไอ.511</t>
  </si>
  <si>
    <t>ไอ.512</t>
  </si>
  <si>
    <t>ไอ.513</t>
  </si>
  <si>
    <t>ไอ.514</t>
  </si>
  <si>
    <t>ไอ.515</t>
  </si>
  <si>
    <t>ไอ.516</t>
  </si>
  <si>
    <t>10 กย.62</t>
  </si>
  <si>
    <t>ฎ.1286</t>
  </si>
  <si>
    <t>9 ดย.62</t>
  </si>
  <si>
    <t>ร.749</t>
  </si>
  <si>
    <t>พี.745</t>
  </si>
  <si>
    <t>ค่าเดินทางครู 1 ราย PISA</t>
  </si>
  <si>
    <t>ru.746</t>
  </si>
  <si>
    <t>เขียด/59772</t>
  </si>
  <si>
    <t>ค่าเบี้ยเลี้ยง ศ.น้ำร้อนยางสาว</t>
  </si>
  <si>
    <t>พี.755</t>
  </si>
  <si>
    <t>ฎ.1299</t>
  </si>
  <si>
    <t>ฎ.1237</t>
  </si>
  <si>
    <t>ค่าเบี้ยเลี้ยง สุทัศน์</t>
  </si>
  <si>
    <t>ยืมเงิน / 30 กย</t>
  </si>
  <si>
    <t>ยืมเงิน 19 กย.</t>
  </si>
  <si>
    <t>ฎ.1296</t>
  </si>
  <si>
    <t>ฎ.1295</t>
  </si>
  <si>
    <t>ค่าล่วงเวลา ส่งเสิรมฯ</t>
  </si>
  <si>
    <t>ฎ.1305</t>
  </si>
  <si>
    <t>ไอ.526</t>
  </si>
  <si>
    <t>ไอ.528</t>
  </si>
  <si>
    <t>ไอ.529</t>
  </si>
  <si>
    <t>ไอ.527</t>
  </si>
  <si>
    <t>ไอ.830</t>
  </si>
  <si>
    <t>10 กย.62.</t>
  </si>
  <si>
    <t>ไอ.758</t>
  </si>
  <si>
    <t>ฎ.1289</t>
  </si>
  <si>
    <t>ค่าเบี้ยเลี้ยง ศพุเตย-พุขาม</t>
  </si>
  <si>
    <t>พี.759</t>
  </si>
  <si>
    <t>พี.760</t>
  </si>
  <si>
    <t>พี.761</t>
  </si>
  <si>
    <t>ค่าเบี้ยเลี้ยง ศ. วังใหญ่ภูน้ำหยด</t>
  </si>
  <si>
    <t>ค่าเบี้ยเลี้ยง ศ. บ่อรัง</t>
  </si>
  <si>
    <t>p.773</t>
  </si>
  <si>
    <t>p.733</t>
  </si>
  <si>
    <t>11 กย.62</t>
  </si>
  <si>
    <t>ค่าเบี้ยเลี้ยง ศ. หนองไผ่</t>
  </si>
  <si>
    <t>ค่าเบี้ยเลี้ยง ศ. ท่าด้วง</t>
  </si>
  <si>
    <t>ค่าเบี้ยเลี้ยง ศ. ห้วยโป่งยางงาม</t>
  </si>
  <si>
    <t>ค่าเบี้ยเลี้ยง ศ. ท่าแดงวังท่าดี</t>
  </si>
  <si>
    <t>ค่าเบี้ยเลี้ยง ศ. สมอทอดซับไม้แดง</t>
  </si>
  <si>
    <t>ค่าเบี้ยเลี้ยง ศ. กันจุสระแก้ว</t>
  </si>
  <si>
    <t>พี.770</t>
  </si>
  <si>
    <t>พี.765</t>
  </si>
  <si>
    <t>พี.766</t>
  </si>
  <si>
    <t>พี.767</t>
  </si>
  <si>
    <t>พี.768</t>
  </si>
  <si>
    <t>ไอ.542</t>
  </si>
  <si>
    <t>i544+I545</t>
  </si>
  <si>
    <t>I546</t>
  </si>
  <si>
    <t>I547</t>
  </si>
  <si>
    <t>I.548</t>
  </si>
  <si>
    <t>P772</t>
  </si>
  <si>
    <t>I540</t>
  </si>
  <si>
    <t>I541</t>
  </si>
  <si>
    <t>P771</t>
  </si>
  <si>
    <t>10 dp.</t>
  </si>
  <si>
    <t>I.537</t>
  </si>
  <si>
    <t>I.532</t>
  </si>
  <si>
    <t>12 กย.62</t>
  </si>
  <si>
    <t>ณ537</t>
  </si>
  <si>
    <t>I.534</t>
  </si>
  <si>
    <t>I531</t>
  </si>
  <si>
    <t>I535</t>
  </si>
  <si>
    <t>I536</t>
  </si>
  <si>
    <t>P782</t>
  </si>
  <si>
    <t>10 กย</t>
  </si>
  <si>
    <t>เบิก หนองจอกฯ</t>
  </si>
  <si>
    <t>I.518</t>
  </si>
  <si>
    <t>I519</t>
  </si>
  <si>
    <t>I.521</t>
  </si>
  <si>
    <t>I.522</t>
  </si>
  <si>
    <t>I.523</t>
  </si>
  <si>
    <t>I.524</t>
  </si>
  <si>
    <t>I.525</t>
  </si>
  <si>
    <t>I.527</t>
  </si>
  <si>
    <t>ฎ.1349</t>
  </si>
  <si>
    <t>P775</t>
  </si>
  <si>
    <t>P.551</t>
  </si>
  <si>
    <t>P.549</t>
  </si>
  <si>
    <t>P.552</t>
  </si>
  <si>
    <t>P.550</t>
  </si>
  <si>
    <t>12 กย.</t>
  </si>
  <si>
    <t>ไอ.538</t>
  </si>
  <si>
    <t>ค่าจ้างพนง.ขับรถ สค.</t>
  </si>
  <si>
    <t>ค่าจ้างพนง.ขับรถ กย.</t>
  </si>
  <si>
    <t>ซ่อมรถ</t>
  </si>
  <si>
    <t>ไอ.556</t>
  </si>
  <si>
    <t>ไอ.557</t>
  </si>
  <si>
    <t>ไอ.558</t>
  </si>
  <si>
    <t>ไอ.559</t>
  </si>
  <si>
    <t>ไอ.560</t>
  </si>
  <si>
    <t>ไอ.554</t>
  </si>
  <si>
    <t>ไอ.555</t>
  </si>
  <si>
    <t>เงินยืม นันทนา ศรีคำ</t>
  </si>
  <si>
    <t>ฎ.1338</t>
  </si>
  <si>
    <t>13 กย.62</t>
  </si>
  <si>
    <t>ค่าเดินทางธนิษฐา จ.อยุธยา</t>
  </si>
  <si>
    <t xml:space="preserve">   รับจากค่าเบี้ยเลี้ยง</t>
  </si>
  <si>
    <t xml:space="preserve"> ไปค่าน้ำมันเชื่อเพลิง</t>
  </si>
  <si>
    <t>ฎ.1375</t>
  </si>
  <si>
    <t>16 กย.62</t>
  </si>
  <si>
    <t>ไปค่าโทรศัพท์</t>
  </si>
  <si>
    <t>รับจากค่าไปรษณีย์</t>
  </si>
  <si>
    <t xml:space="preserve"> เบิก เดือน กย.62</t>
  </si>
  <si>
    <t>ไอ.562</t>
  </si>
  <si>
    <t>ไอ.563</t>
  </si>
  <si>
    <t>จาก ก.ต.ป.น.</t>
  </si>
  <si>
    <t>ฎ.1364</t>
  </si>
  <si>
    <t xml:space="preserve">    คชจ.บริหารสำนักงานฯ</t>
  </si>
  <si>
    <t xml:space="preserve"> ตัดไปเหลือจ่าย2</t>
  </si>
  <si>
    <t>ฎ.1374</t>
  </si>
  <si>
    <t>เบิกค่าตอบแทน กรรมการ 3 ราย</t>
  </si>
  <si>
    <t>พี.781</t>
  </si>
  <si>
    <t>I.564</t>
  </si>
  <si>
    <t>I.565</t>
  </si>
  <si>
    <t>I.566</t>
  </si>
  <si>
    <t>I.567</t>
  </si>
  <si>
    <t>16กย.62</t>
  </si>
  <si>
    <t>ไอ.568</t>
  </si>
  <si>
    <t>ไอ.569</t>
  </si>
  <si>
    <t>74 ราย</t>
  </si>
  <si>
    <t>4 ราย</t>
  </si>
  <si>
    <t xml:space="preserve">ณ  วันที่  30  กันยายน   2562             </t>
  </si>
  <si>
    <t xml:space="preserve">ณ  วันที่  30 กันยายน  2562             </t>
  </si>
  <si>
    <t xml:space="preserve">ณ  วันที่  30 กันยายน   2562             </t>
  </si>
  <si>
    <t xml:space="preserve">ณ  วันที่ 30 กันยายน   2562             </t>
  </si>
  <si>
    <t xml:space="preserve">ณ  วันที่   30  กันยายน   2562             </t>
  </si>
  <si>
    <t>1850+600+480</t>
  </si>
  <si>
    <t>ค่าเดินทาง ศน.รังสิมา, พัชรินทร+ปิยะวรรณ์</t>
  </si>
  <si>
    <t>คชจ. อุทกภัย  รร.ตะกรุดหิน</t>
  </si>
  <si>
    <t>เบิกค่าตอบแทน กรรมการตรวจรับ  3 ราย</t>
  </si>
  <si>
    <t>ค่าตอบแทนคณะกรรมการพิจารณาผลเปิดฯ/ตรวจรับ</t>
  </si>
  <si>
    <t>ค่าตอบแทนล่วงเวลา กง. (1 15 กย.62)</t>
  </si>
  <si>
    <t>ค่าตอบแทนล่วงเวลา กง. (16 29 กย.62)</t>
  </si>
  <si>
    <t>I582</t>
  </si>
  <si>
    <t>ไอ.575</t>
  </si>
  <si>
    <t>ไอ.576</t>
  </si>
  <si>
    <t>ไอ.577</t>
  </si>
  <si>
    <t>ไอ.578</t>
  </si>
  <si>
    <t>ไอ.572</t>
  </si>
  <si>
    <t>เบิกซ่อมปริ้นเตอร์ (กลุ่มการเงิน.)</t>
  </si>
  <si>
    <t>ไอ.574</t>
  </si>
  <si>
    <t>ไอ.579</t>
  </si>
  <si>
    <t xml:space="preserve">เบิกของ  สค.62 </t>
  </si>
  <si>
    <t>ฎ.1385</t>
  </si>
  <si>
    <t>ฎ.1384</t>
  </si>
  <si>
    <t>ฎ.1408</t>
  </si>
  <si>
    <t>เบิกค่าตอบแทนเปิด กรรมการ 3 ราย</t>
  </si>
  <si>
    <t>18 กย.62</t>
  </si>
  <si>
    <t>ฎ.1581</t>
  </si>
  <si>
    <t xml:space="preserve">เบิก ทีโอที สค.62 </t>
  </si>
  <si>
    <t>ฎ.1580</t>
  </si>
  <si>
    <t xml:space="preserve"> เบิกโทรศัพท์มือถือ เดือน สค.62</t>
  </si>
  <si>
    <t>ค่าเบี้ยเลี้ยง ศ. บึงสามพัน-หนองแจง</t>
  </si>
  <si>
    <t>ค่าเบี้ยเลี้ยง ศ. ศรีเทพหนองย่างทอย</t>
  </si>
  <si>
    <t>คา.14380</t>
  </si>
  <si>
    <t>พี.794</t>
  </si>
  <si>
    <t>พี.795</t>
  </si>
  <si>
    <t>พี.796</t>
  </si>
  <si>
    <t>พี.797</t>
  </si>
  <si>
    <t>พี.798</t>
  </si>
  <si>
    <t>พี.799</t>
  </si>
  <si>
    <t>พี.800</t>
  </si>
  <si>
    <t>ค่าเบี้ยเลี้ยง ศ. คลองกระจัง</t>
  </si>
  <si>
    <t>ค่าเบี้ยเลี้ยง ศ. สระประดู่</t>
  </si>
  <si>
    <t>ค่าเบี้ยเลี้ยง ศ. นาสนุ่น</t>
  </si>
  <si>
    <t>ค่าเบี้ยเลี้ยง ศ. ซับสมบูรณ์ซับน้อย</t>
  </si>
  <si>
    <t>ค่าเบี้ยเลี้ยง ศ. ท่าโรงโคกปรง</t>
  </si>
  <si>
    <t>เบิก กย.62</t>
  </si>
  <si>
    <t>พี.801</t>
  </si>
  <si>
    <t>ไอ.583</t>
  </si>
  <si>
    <t>ไอ.585</t>
  </si>
  <si>
    <t>ไอ.586</t>
  </si>
  <si>
    <t>ไอ.584</t>
  </si>
  <si>
    <t>ฎ.551</t>
  </si>
  <si>
    <t>19 กย.62</t>
  </si>
  <si>
    <t>ฎ.1407</t>
  </si>
  <si>
    <t>ค่าเดินทาง พรเมษา</t>
  </si>
  <si>
    <t>ค่าซ่อมบำรุงอุปกรณ์ DLTV  10 ร.ร.</t>
  </si>
  <si>
    <t>แจ้ง 9 กย.</t>
  </si>
  <si>
    <t>ไอ.589</t>
  </si>
  <si>
    <t>บ้านภูนำหยด</t>
  </si>
  <si>
    <t>20 กย.62</t>
  </si>
  <si>
    <t>ไอ.590</t>
  </si>
  <si>
    <t>ไอ.594</t>
  </si>
  <si>
    <t>ค่าเดินทาง รัชณีย์</t>
  </si>
  <si>
    <t>ฎ.1415</t>
  </si>
  <si>
    <t>23 กย.62</t>
  </si>
  <si>
    <t>ป้ายไวนิล ยกย่องเชิดชูเกยรติ</t>
  </si>
  <si>
    <t>ว. 4157</t>
  </si>
  <si>
    <t>ค่าเช่าบ้าน ครั้งที่ 3</t>
  </si>
  <si>
    <t>24 กย.62</t>
  </si>
  <si>
    <t>ป้ายไวนิล  น้อย</t>
  </si>
  <si>
    <t>ฎ.1414</t>
  </si>
  <si>
    <t>ไอ.592</t>
  </si>
  <si>
    <t xml:space="preserve">ณ  วันที่  30  กันยายน   2562              </t>
  </si>
  <si>
    <t>ค่าเดินทาง ศน.สุปัญญา+ครู</t>
  </si>
  <si>
    <t>ค่าเดินทางอนวัฒน์+อรพรรณ</t>
  </si>
  <si>
    <t>ไอ461</t>
  </si>
  <si>
    <t>ฎ.1446</t>
  </si>
  <si>
    <t>25 กย.62</t>
  </si>
  <si>
    <t>อ๋อ ประชุม 29 กย.</t>
  </si>
  <si>
    <t>ฎ.1461</t>
  </si>
  <si>
    <t>p.738</t>
  </si>
  <si>
    <t>พี.738</t>
  </si>
  <si>
    <t>p.739</t>
  </si>
  <si>
    <t>พี.739</t>
  </si>
  <si>
    <t>P739</t>
  </si>
  <si>
    <t>p739</t>
  </si>
  <si>
    <t>จาก ก.ต.ป.น. + งบบริหารฯ</t>
  </si>
  <si>
    <t>คชจ. ปาริชาติ 9 กย.</t>
  </si>
  <si>
    <t>พี.813</t>
  </si>
  <si>
    <t>ไอ.595</t>
  </si>
  <si>
    <t>ไอ.597</t>
  </si>
  <si>
    <t>ไอ.598</t>
  </si>
  <si>
    <t>ไ.598</t>
  </si>
  <si>
    <t>ไอ.599</t>
  </si>
  <si>
    <t>ไอ.600</t>
  </si>
  <si>
    <t>ไอ.603</t>
  </si>
  <si>
    <t>ไอ.604</t>
  </si>
  <si>
    <t>ไอ.602</t>
  </si>
  <si>
    <t>พี.823</t>
  </si>
  <si>
    <t>พ.824</t>
  </si>
  <si>
    <t>พี.817</t>
  </si>
  <si>
    <t>ศูนย์ กองทูลเพชรละคร</t>
  </si>
  <si>
    <t>ศูนย์ วังโบสถ์-บ่อไทย</t>
  </si>
  <si>
    <t>ศูนย์ พญาวังศรีมงคล</t>
  </si>
  <si>
    <t>ศูนย์ บ้านโภชน์บัววัฒนา</t>
  </si>
  <si>
    <t>ศูนย์  สระกรวดประดู่งาม</t>
  </si>
  <si>
    <t>พี.818</t>
  </si>
  <si>
    <t>พี.819</t>
  </si>
  <si>
    <t>พี.820</t>
  </si>
  <si>
    <t>พี.821</t>
  </si>
  <si>
    <t>ไอ607</t>
  </si>
  <si>
    <t>เบิกค่าไฟฟ้า  1ร.ร.</t>
  </si>
  <si>
    <t>เบิกค่าไฟฟ้า  69 ร.ร. (สค.62)</t>
  </si>
  <si>
    <t>ฎ.1462</t>
  </si>
  <si>
    <t>ศน.เสาวภา  ยืมเงินประชุม 30กย-กตค.</t>
  </si>
  <si>
    <t>ไอ.608</t>
  </si>
  <si>
    <t>24 กย.</t>
  </si>
  <si>
    <t>พี.826</t>
  </si>
  <si>
    <t>พี829</t>
  </si>
  <si>
    <t xml:space="preserve">เบิกของ กย.62 </t>
  </si>
  <si>
    <t>พี.827</t>
  </si>
  <si>
    <t>พี.831</t>
  </si>
  <si>
    <t>พี.830</t>
  </si>
  <si>
    <t>พี831</t>
  </si>
  <si>
    <t>พี832</t>
  </si>
  <si>
    <t>25 กย62</t>
  </si>
  <si>
    <t>พี833</t>
  </si>
  <si>
    <t>พี835</t>
  </si>
  <si>
    <t>พี.836</t>
  </si>
  <si>
    <t>คืนเงินยืม สุกัญญา</t>
  </si>
  <si>
    <t>ยืมเงินกรรมการ 221 คน  (แจ้งว่าไม่ทำแล้ว)</t>
  </si>
  <si>
    <t>ค่าไฟฟ้า 162 รร. (กย.)</t>
  </si>
  <si>
    <t>ไปค่าวัสดุ สนง. (ยอด 55653)</t>
  </si>
  <si>
    <t>ปรับไปค่าถ่ายเอกสาร</t>
  </si>
  <si>
    <t>พี842</t>
  </si>
  <si>
    <t>26 กย.62</t>
  </si>
  <si>
    <t>(รวมจ้างเพิ่ม 1 ราย (20-30 กย.)</t>
  </si>
  <si>
    <t>พี.843</t>
  </si>
  <si>
    <t>เบิกของเดือน กค.62 (368550)</t>
  </si>
  <si>
    <t>รับจากค่าจ้างเหลือจ่าย 4 รายการ</t>
  </si>
  <si>
    <t>จากค่าจ้างครูพี่เลี้ยง</t>
  </si>
  <si>
    <t>เบิกค่าไฟฟ้า กย.62  ( 162 ร.ร. )</t>
  </si>
  <si>
    <t xml:space="preserve"> เบิกเดือน กย.62</t>
  </si>
  <si>
    <t>27 กย.62</t>
  </si>
  <si>
    <t>ธนิษฐา  / เบิก 10 ร.ร.</t>
  </si>
  <si>
    <t>ฎ.1475</t>
  </si>
  <si>
    <t>รับจากถ่ายเอกสาร</t>
  </si>
  <si>
    <t>ฎ.1467</t>
  </si>
  <si>
    <t>ค่าเดินทาง อนวัฒน์และคณะ</t>
  </si>
  <si>
    <t>ไอ.610</t>
  </si>
  <si>
    <t>พี.844</t>
  </si>
  <si>
    <t>ค่าน้ำมันรถ</t>
  </si>
  <si>
    <t>ไอ.612</t>
  </si>
  <si>
    <t>เบิกนักการ Sp2 เดือน กค.62 (368550)</t>
  </si>
  <si>
    <t>27กย.62</t>
  </si>
  <si>
    <t>พี.845</t>
  </si>
  <si>
    <t>พี.848</t>
  </si>
  <si>
    <t>ru.848</t>
  </si>
  <si>
    <t>ru848</t>
  </si>
  <si>
    <t>p.773+848</t>
  </si>
  <si>
    <t>p848</t>
  </si>
  <si>
    <t>.p771</t>
  </si>
  <si>
    <t>พาหนะ</t>
  </si>
  <si>
    <t>ย848</t>
  </si>
  <si>
    <t>p773+848</t>
  </si>
  <si>
    <t>พี808</t>
  </si>
  <si>
    <t>พี848</t>
  </si>
  <si>
    <t>พ848</t>
  </si>
  <si>
    <t>ค่าเน็ต  ครั้งที่ 2</t>
  </si>
  <si>
    <t>เบิกเงินให้ 25 ร.ร.</t>
  </si>
  <si>
    <t>พี.814</t>
  </si>
  <si>
    <t>พี.849</t>
  </si>
  <si>
    <t>17 กย.62</t>
  </si>
  <si>
    <t>เบิกเงินให้ 107  ร.ร.</t>
  </si>
  <si>
    <t>พี.850</t>
  </si>
  <si>
    <t>ข้อมูล  ณ  วันที่     กันยายน  2562</t>
  </si>
  <si>
    <t>ฎ.1487</t>
  </si>
  <si>
    <t>ไปวัสดุ</t>
  </si>
  <si>
    <t xml:space="preserve">   ค่าไปรษณีย์ สค.62 ()</t>
  </si>
  <si>
    <t>ฎ.1486</t>
  </si>
  <si>
    <t xml:space="preserve">   ค่าไปรษณีย์ กย.62 </t>
  </si>
  <si>
    <t>ไอ.614</t>
  </si>
  <si>
    <t>เหลือจ่ายไปวัสดุ สนง.</t>
  </si>
  <si>
    <t>N3088</t>
  </si>
  <si>
    <t>ไอ.613</t>
  </si>
  <si>
    <t>ฎ.1421</t>
  </si>
  <si>
    <t>พี.812</t>
  </si>
  <si>
    <t>เบิก 2 ราย</t>
  </si>
  <si>
    <t>เบิก 13 ราย</t>
  </si>
  <si>
    <t>พี.859</t>
  </si>
  <si>
    <t xml:space="preserve">ณ  วันที่    30  กันนยายน    2562             </t>
  </si>
  <si>
    <t>เบิก กย.62 (ยอด 874,800)</t>
  </si>
  <si>
    <t>พี.856</t>
  </si>
  <si>
    <t>พี.855</t>
  </si>
  <si>
    <t xml:space="preserve"> เบิก กย.62 (ยอด874800)</t>
  </si>
  <si>
    <t>พี.854</t>
  </si>
  <si>
    <t>เบิกเดือน กย.62 (9000 มากิน)</t>
  </si>
  <si>
    <t>พี.857</t>
  </si>
  <si>
    <t>.p860</t>
  </si>
  <si>
    <t>พี860</t>
  </si>
  <si>
    <t>30 กย.</t>
  </si>
  <si>
    <t>เบิกเงินให้ 150  ร.ร.</t>
  </si>
  <si>
    <t>พี.864</t>
  </si>
  <si>
    <t>30 กย.62</t>
  </si>
  <si>
    <t>พ.863</t>
  </si>
  <si>
    <t>พี862</t>
  </si>
  <si>
    <t>พี.861</t>
  </si>
  <si>
    <t>พี.869</t>
  </si>
  <si>
    <t>พี869</t>
  </si>
  <si>
    <t>ค่าซ่อมแซมไฟฟ้า  รร.โคกสง่า</t>
  </si>
  <si>
    <t>ค่าซ่อมแซมไฟฟ้า  รร.โพทะเลประชาสรรค์</t>
  </si>
  <si>
    <t>ค่าซ่อมแซมบริเวณ สำนักงานฯ</t>
  </si>
  <si>
    <t>ค่าวัสดุ สำนักงาน</t>
  </si>
  <si>
    <t>ยอด920166</t>
  </si>
  <si>
    <t>30กย.</t>
  </si>
  <si>
    <t>พี.875</t>
  </si>
  <si>
    <t>เบิกค่าไฟฟ้า 9 ร.ร.</t>
  </si>
  <si>
    <t>เบิกเงินให้ 13 ร.ร.</t>
  </si>
  <si>
    <t>พี.868</t>
  </si>
  <si>
    <t>ไอ.621</t>
  </si>
  <si>
    <t>ไอ.625</t>
  </si>
  <si>
    <t>ไอ.618</t>
  </si>
  <si>
    <t>ไอ.627</t>
  </si>
  <si>
    <t>พี.867</t>
  </si>
  <si>
    <t>เบิกเงินให้ 9 ร.ร.</t>
  </si>
  <si>
    <t>เบิกค่าไฟฟ้า 3 ร.ร.</t>
  </si>
  <si>
    <t>พี.876</t>
  </si>
  <si>
    <t>ไม่ขอเบิก</t>
  </si>
  <si>
    <t>พี.874</t>
  </si>
  <si>
    <t>พี.872</t>
  </si>
  <si>
    <t>เบิกของ สค. - กย.62</t>
  </si>
  <si>
    <t>ประกันสังคม นักการฯ</t>
  </si>
  <si>
    <t>พี.873</t>
  </si>
  <si>
    <t>เบิกของนักการ สค62- กย.62</t>
  </si>
  <si>
    <t>รหัส 39003</t>
  </si>
  <si>
    <t>ไอ.620</t>
  </si>
  <si>
    <t>ซื้อวัสดุ สนง.</t>
  </si>
  <si>
    <t>ไปซื้อวัสดุ สนง.</t>
  </si>
  <si>
    <t xml:space="preserve">    คชจ.บริหารสำนักงานฯ   1,000,000.-</t>
  </si>
  <si>
    <t>วารสารประชาสัมพันธ์/แผ่นพับ</t>
  </si>
  <si>
    <t>ว. 4384</t>
  </si>
  <si>
    <t>รับครั้งที่ 4  (กค-กย.62)</t>
  </si>
  <si>
    <t>เบิกเงินให้ 5 ร.ร.</t>
  </si>
  <si>
    <t>เบิกเงินให้ 6 ร.ร.</t>
  </si>
  <si>
    <t>พี.878</t>
  </si>
  <si>
    <t>พี.879</t>
  </si>
  <si>
    <t xml:space="preserve"> (สค.62- กย.62)</t>
  </si>
  <si>
    <t>พี.877</t>
  </si>
  <si>
    <t>รับ ครั้งที่ 4</t>
  </si>
  <si>
    <t>เบิก 105 ราย  (เดือน สค.62)</t>
  </si>
  <si>
    <t>พี875</t>
  </si>
  <si>
    <t>ค่าวารสาร/แผ่นพับประชาสัมพันธ์</t>
  </si>
  <si>
    <t>สรุปรายการเงินกัน  ที่บันทึก PO ในระบบ GFMIS</t>
  </si>
  <si>
    <r>
      <t xml:space="preserve">       </t>
    </r>
    <r>
      <rPr>
        <b/>
        <u/>
        <sz val="14"/>
        <rFont val="TH SarabunPSK"/>
        <family val="2"/>
      </rPr>
      <t>งบดำเนินงาน</t>
    </r>
  </si>
  <si>
    <t xml:space="preserve">                       ณ  วันที่     กันยายน   2562</t>
  </si>
  <si>
    <t>พนง.ลาออก สค.62</t>
  </si>
  <si>
    <t>ณ  วันที่   30   กันยายน   2562</t>
  </si>
  <si>
    <t>ณ  วันที่ 30  กันยายน  2562</t>
  </si>
  <si>
    <t>ณ  วันที่  30  กันยายน   2562</t>
  </si>
  <si>
    <t>ณ  วันที่  30   กันยายน   2562</t>
  </si>
  <si>
    <r>
      <t>เปเหลือจ่าย (</t>
    </r>
    <r>
      <rPr>
        <sz val="13"/>
        <rFont val="TH SarabunPSK"/>
        <family val="2"/>
      </rPr>
      <t>ซื้อวัสดุ สนง.)</t>
    </r>
  </si>
  <si>
    <t xml:space="preserve">ณ  วันที่  30  กันนยายน   2562             </t>
  </si>
  <si>
    <t xml:space="preserve">ณ  วันที่ 30  กันยายน   2562             </t>
  </si>
  <si>
    <t xml:space="preserve">ณ  วันที่  30  กันยายน    2562             </t>
  </si>
  <si>
    <t>ค่าจ้างพนง.ขับรถ dค.</t>
  </si>
  <si>
    <t>ค่าจ้างพนง.ขับรถ l8.</t>
  </si>
  <si>
    <t>ว. 4242</t>
  </si>
  <si>
    <t>เงินอุดหนุนยากจน ภาคเรียน 1/62</t>
  </si>
  <si>
    <t>เบิกเงิน 189 รร.</t>
  </si>
  <si>
    <t>ว. 4260</t>
  </si>
  <si>
    <t>เบิกเงิน 155 รร.</t>
  </si>
  <si>
    <t>อุดหนุนการศึกษาโดยครอบครัว</t>
  </si>
  <si>
    <t>ภาคเรียนที่ 1/2562</t>
  </si>
  <si>
    <t>ค่าหนังสือเรียน</t>
  </si>
  <si>
    <t>ค่าอุปกรณ์การเรียน</t>
  </si>
  <si>
    <t>ค่าเครื่องแบบนักเรียน</t>
  </si>
  <si>
    <t>ค่ากิจกรรมพัฒนาผู้เรียน</t>
  </si>
  <si>
    <t>ฎ.1465</t>
  </si>
  <si>
    <t>ฎ.1463</t>
  </si>
  <si>
    <t>ฎ.1464</t>
  </si>
  <si>
    <t xml:space="preserve">                                     ณ  วันที่   30  กันยายน   2562                                       เงินกันไว้เบิกเหลื่อมปี พ.ศ. 2562</t>
  </si>
  <si>
    <t>สรุปรายการเงินงบประมาณคงเหลือ</t>
  </si>
  <si>
    <t>ลำดัลที่</t>
  </si>
  <si>
    <t>จำนวนเงินคงเหลือ</t>
  </si>
  <si>
    <t>ค่าจ้างธุรการ เดือนละ 9,000</t>
  </si>
  <si>
    <t>ค่าจ้างครูวิทย์-คณิต</t>
  </si>
  <si>
    <t>ค่าจ้างนักการ (ปกติ)</t>
  </si>
  <si>
    <t>ค่าจ้างนักการ(คืนครูให้นักเรียน)</t>
  </si>
  <si>
    <t>ค่าจ้างครูพี่เลี้ยง</t>
  </si>
  <si>
    <t>เงินสมทบประกันสังคม นักการฯ</t>
  </si>
  <si>
    <t>ค่าตอบแทนครูผู้ทรงคุณค่า</t>
  </si>
  <si>
    <t>เงินสมทบประกันสังคมพนักงานราชการ</t>
  </si>
  <si>
    <t>ค่าเช่าบ้าน</t>
  </si>
  <si>
    <t>นันทนา</t>
  </si>
  <si>
    <t>คชจ.การทดสอบความสามารถผู้เรียน NT</t>
  </si>
  <si>
    <t>คชจ.เดินทางประชุม ผอ.เขต/รองผอ. ทั่วประเทศ</t>
  </si>
  <si>
    <t>คชจ.เดินทางประชุม ต่อต้านการทุจริต</t>
  </si>
  <si>
    <t>คชจ.โครงการเสริมสร้างคุณธรรม (รร.สุจริต)</t>
  </si>
  <si>
    <t>คชจ.โครงการเขตสุจริต</t>
  </si>
  <si>
    <t>ค่าเช่าอินเทอร์เน็ต ครั้งที่ 2</t>
  </si>
  <si>
    <t>ค่าพาหนะรับ-ส่งนักเรียน</t>
  </si>
  <si>
    <t>งบบริหารสำนักงาน ครั้งที่ 5</t>
  </si>
  <si>
    <t>คชจ.ปัจจัยพื้นฐานนักเรียนยากจน</t>
  </si>
  <si>
    <t xml:space="preserve"> "--"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</si>
</sst>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  <numFmt numFmtId="190" formatCode="#,##0.00_ ;\-#,##0.00\ "/>
  </numFmts>
  <fonts count="43" x14ac:knownFonts="1">
    <font>
      <sz val="10"/>
      <name val="Arial"/>
      <charset val="222"/>
    </font>
    <font>
      <sz val="10"/>
      <name val="Arial"/>
      <family val="2"/>
    </font>
    <font>
      <b/>
      <sz val="16"/>
      <name val="Angsana New"/>
      <family val="1"/>
    </font>
    <font>
      <sz val="16"/>
      <name val="Angsana New"/>
      <family val="1"/>
    </font>
    <font>
      <sz val="14"/>
      <name val="Cordia New"/>
      <family val="2"/>
    </font>
    <font>
      <sz val="8"/>
      <name val="Arial"/>
      <family val="2"/>
    </font>
    <font>
      <sz val="14"/>
      <name val="TH SarabunPSK"/>
      <family val="2"/>
    </font>
    <font>
      <sz val="14"/>
      <name val="AngsanaUPC"/>
      <family val="1"/>
    </font>
    <font>
      <sz val="16"/>
      <name val="AngsanaUPC"/>
      <family val="1"/>
    </font>
    <font>
      <b/>
      <sz val="16"/>
      <name val="TH SarabunPSK"/>
      <family val="2"/>
    </font>
    <font>
      <sz val="16"/>
      <name val="TH SarabunPSK"/>
      <family val="2"/>
    </font>
    <font>
      <sz val="14"/>
      <color indexed="8"/>
      <name val="TH SarabunPSK"/>
      <family val="2"/>
    </font>
    <font>
      <sz val="10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b/>
      <sz val="14"/>
      <color indexed="8"/>
      <name val="TH SarabunPSK"/>
      <family val="2"/>
    </font>
    <font>
      <b/>
      <u/>
      <sz val="13"/>
      <name val="TH SarabunPSK"/>
      <family val="2"/>
    </font>
    <font>
      <u/>
      <sz val="13"/>
      <name val="TH SarabunPSK"/>
      <family val="2"/>
    </font>
    <font>
      <b/>
      <sz val="13"/>
      <name val="TH SarabunPSK"/>
      <family val="2"/>
    </font>
    <font>
      <sz val="12"/>
      <color indexed="8"/>
      <name val="TH SarabunPSK"/>
      <family val="2"/>
    </font>
    <font>
      <b/>
      <sz val="13"/>
      <color indexed="8"/>
      <name val="TH SarabunPSK"/>
      <family val="2"/>
    </font>
    <font>
      <sz val="13"/>
      <color indexed="8"/>
      <name val="TH SarabunPSK"/>
      <family val="2"/>
    </font>
    <font>
      <b/>
      <sz val="12"/>
      <name val="TH SarabunPSK"/>
      <family val="2"/>
    </font>
    <font>
      <b/>
      <sz val="12"/>
      <color indexed="8"/>
      <name val="TH SarabunPSK"/>
      <family val="2"/>
    </font>
    <font>
      <sz val="11"/>
      <name val="TH SarabunPSK"/>
      <family val="2"/>
    </font>
    <font>
      <sz val="13"/>
      <color rgb="FF7030A0"/>
      <name val="TH SarabunPSK"/>
      <family val="2"/>
    </font>
    <font>
      <sz val="13"/>
      <color rgb="FFFF0000"/>
      <name val="TH SarabunPSK"/>
      <family val="2"/>
    </font>
    <font>
      <sz val="12"/>
      <color rgb="FF7030A0"/>
      <name val="TH SarabunPSK"/>
      <family val="2"/>
    </font>
    <font>
      <b/>
      <sz val="13"/>
      <color rgb="FFFF0000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sz val="14"/>
      <color rgb="FFFF0000"/>
      <name val="TH SarabunPSK"/>
      <family val="2"/>
    </font>
    <font>
      <sz val="12"/>
      <color rgb="FFFF0000"/>
      <name val="TH SarabunPSK"/>
      <family val="2"/>
    </font>
    <font>
      <sz val="11"/>
      <color theme="1"/>
      <name val="TH SarabunPSK"/>
      <family val="2"/>
    </font>
    <font>
      <sz val="13"/>
      <color theme="1"/>
      <name val="TH SarabunPSK"/>
      <family val="2"/>
    </font>
    <font>
      <sz val="14"/>
      <color rgb="FF7030A0"/>
      <name val="TH SarabunPSK"/>
      <family val="2"/>
    </font>
    <font>
      <b/>
      <sz val="12"/>
      <color rgb="FFFF0000"/>
      <name val="TH SarabunPSK"/>
      <family val="2"/>
    </font>
    <font>
      <sz val="13"/>
      <color rgb="FFC00000"/>
      <name val="TH SarabunPSK"/>
      <family val="2"/>
    </font>
    <font>
      <b/>
      <sz val="11"/>
      <color indexed="8"/>
      <name val="TH SarabunPSK"/>
      <family val="2"/>
    </font>
    <font>
      <sz val="11"/>
      <color rgb="FFFF0000"/>
      <name val="TH SarabunPSK"/>
      <family val="2"/>
    </font>
    <font>
      <b/>
      <u/>
      <sz val="14"/>
      <name val="TH SarabunPSK"/>
      <family val="2"/>
    </font>
    <font>
      <sz val="14"/>
      <color rgb="FFC0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4" fillId="0" borderId="0"/>
  </cellStyleXfs>
  <cellXfs count="454">
    <xf numFmtId="0" fontId="0" fillId="0" borderId="0" xfId="0"/>
    <xf numFmtId="0" fontId="6" fillId="0" borderId="0" xfId="0" applyFont="1"/>
    <xf numFmtId="0" fontId="6" fillId="0" borderId="2" xfId="0" applyFont="1" applyBorder="1"/>
    <xf numFmtId="0" fontId="6" fillId="0" borderId="3" xfId="0" applyFont="1" applyBorder="1" applyAlignment="1">
      <alignment horizontal="center"/>
    </xf>
    <xf numFmtId="0" fontId="6" fillId="0" borderId="0" xfId="0" applyFont="1" applyBorder="1"/>
    <xf numFmtId="0" fontId="6" fillId="0" borderId="6" xfId="0" applyFont="1" applyBorder="1"/>
    <xf numFmtId="0" fontId="6" fillId="0" borderId="7" xfId="0" applyFont="1" applyBorder="1"/>
    <xf numFmtId="43" fontId="6" fillId="0" borderId="6" xfId="1" applyFont="1" applyBorder="1"/>
    <xf numFmtId="43" fontId="6" fillId="0" borderId="0" xfId="1" applyFont="1"/>
    <xf numFmtId="43" fontId="6" fillId="0" borderId="7" xfId="1" applyFont="1" applyBorder="1"/>
    <xf numFmtId="0" fontId="8" fillId="0" borderId="0" xfId="0" applyFont="1"/>
    <xf numFmtId="0" fontId="3" fillId="0" borderId="0" xfId="0" applyFont="1"/>
    <xf numFmtId="0" fontId="2" fillId="0" borderId="0" xfId="0" applyFont="1"/>
    <xf numFmtId="0" fontId="10" fillId="0" borderId="1" xfId="0" applyFont="1" applyBorder="1"/>
    <xf numFmtId="0" fontId="10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0" xfId="0" applyFont="1"/>
    <xf numFmtId="0" fontId="10" fillId="0" borderId="0" xfId="0" applyFont="1"/>
    <xf numFmtId="0" fontId="9" fillId="0" borderId="0" xfId="0" applyFont="1"/>
    <xf numFmtId="43" fontId="8" fillId="0" borderId="0" xfId="1" applyFont="1"/>
    <xf numFmtId="0" fontId="1" fillId="0" borderId="0" xfId="0" applyFont="1"/>
    <xf numFmtId="0" fontId="13" fillId="0" borderId="0" xfId="0" applyFont="1"/>
    <xf numFmtId="0" fontId="6" fillId="0" borderId="8" xfId="0" applyFont="1" applyBorder="1" applyAlignment="1">
      <alignment horizontal="center"/>
    </xf>
    <xf numFmtId="43" fontId="6" fillId="0" borderId="6" xfId="0" applyNumberFormat="1" applyFont="1" applyBorder="1" applyAlignment="1">
      <alignment horizontal="center"/>
    </xf>
    <xf numFmtId="2" fontId="6" fillId="0" borderId="6" xfId="0" applyNumberFormat="1" applyFont="1" applyBorder="1"/>
    <xf numFmtId="0" fontId="6" fillId="0" borderId="9" xfId="0" applyFont="1" applyBorder="1"/>
    <xf numFmtId="43" fontId="6" fillId="0" borderId="10" xfId="1" applyFont="1" applyBorder="1"/>
    <xf numFmtId="43" fontId="6" fillId="0" borderId="11" xfId="1" applyFont="1" applyBorder="1"/>
    <xf numFmtId="0" fontId="6" fillId="0" borderId="10" xfId="0" applyFont="1" applyBorder="1"/>
    <xf numFmtId="0" fontId="6" fillId="0" borderId="11" xfId="0" applyFont="1" applyBorder="1"/>
    <xf numFmtId="43" fontId="6" fillId="0" borderId="10" xfId="0" applyNumberFormat="1" applyFont="1" applyBorder="1" applyAlignment="1">
      <alignment horizontal="center"/>
    </xf>
    <xf numFmtId="43" fontId="6" fillId="0" borderId="2" xfId="0" applyNumberFormat="1" applyFont="1" applyBorder="1"/>
    <xf numFmtId="2" fontId="6" fillId="0" borderId="2" xfId="0" applyNumberFormat="1" applyFont="1" applyBorder="1"/>
    <xf numFmtId="187" fontId="11" fillId="0" borderId="12" xfId="2" applyFont="1" applyBorder="1"/>
    <xf numFmtId="187" fontId="11" fillId="0" borderId="13" xfId="2" applyFont="1" applyBorder="1"/>
    <xf numFmtId="188" fontId="0" fillId="0" borderId="0" xfId="1" applyNumberFormat="1" applyFont="1"/>
    <xf numFmtId="43" fontId="13" fillId="0" borderId="6" xfId="1" applyFont="1" applyBorder="1"/>
    <xf numFmtId="188" fontId="7" fillId="0" borderId="0" xfId="1" applyNumberFormat="1" applyFont="1"/>
    <xf numFmtId="188" fontId="6" fillId="0" borderId="0" xfId="1" applyNumberFormat="1" applyFont="1"/>
    <xf numFmtId="188" fontId="6" fillId="0" borderId="4" xfId="1" applyNumberFormat="1" applyFont="1" applyBorder="1"/>
    <xf numFmtId="188" fontId="6" fillId="0" borderId="6" xfId="1" applyNumberFormat="1" applyFont="1" applyBorder="1"/>
    <xf numFmtId="188" fontId="6" fillId="0" borderId="14" xfId="1" applyNumberFormat="1" applyFont="1" applyBorder="1"/>
    <xf numFmtId="0" fontId="14" fillId="0" borderId="0" xfId="0" applyFont="1"/>
    <xf numFmtId="188" fontId="0" fillId="0" borderId="0" xfId="1" applyNumberFormat="1" applyFont="1" applyBorder="1"/>
    <xf numFmtId="188" fontId="6" fillId="0" borderId="10" xfId="1" applyNumberFormat="1" applyFont="1" applyBorder="1"/>
    <xf numFmtId="188" fontId="6" fillId="0" borderId="9" xfId="1" applyNumberFormat="1" applyFont="1" applyBorder="1"/>
    <xf numFmtId="188" fontId="6" fillId="0" borderId="12" xfId="1" applyNumberFormat="1" applyFont="1" applyBorder="1"/>
    <xf numFmtId="0" fontId="15" fillId="0" borderId="16" xfId="3" applyFont="1" applyBorder="1"/>
    <xf numFmtId="43" fontId="6" fillId="0" borderId="0" xfId="0" applyNumberFormat="1" applyFont="1"/>
    <xf numFmtId="0" fontId="15" fillId="0" borderId="7" xfId="0" applyFont="1" applyBorder="1"/>
    <xf numFmtId="0" fontId="6" fillId="0" borderId="0" xfId="0" applyFont="1" applyBorder="1" applyAlignment="1">
      <alignment horizontal="center"/>
    </xf>
    <xf numFmtId="188" fontId="6" fillId="0" borderId="7" xfId="1" applyNumberFormat="1" applyFont="1" applyBorder="1"/>
    <xf numFmtId="188" fontId="13" fillId="0" borderId="6" xfId="1" applyNumberFormat="1" applyFont="1" applyBorder="1"/>
    <xf numFmtId="188" fontId="6" fillId="0" borderId="6" xfId="0" applyNumberFormat="1" applyFont="1" applyBorder="1" applyAlignment="1">
      <alignment horizontal="center"/>
    </xf>
    <xf numFmtId="43" fontId="6" fillId="0" borderId="2" xfId="1" applyFont="1" applyBorder="1"/>
    <xf numFmtId="188" fontId="6" fillId="0" borderId="0" xfId="1" applyNumberFormat="1" applyFont="1" applyBorder="1"/>
    <xf numFmtId="43" fontId="6" fillId="0" borderId="7" xfId="1" applyNumberFormat="1" applyFont="1" applyBorder="1"/>
    <xf numFmtId="43" fontId="6" fillId="0" borderId="0" xfId="0" applyNumberFormat="1" applyFont="1" applyBorder="1"/>
    <xf numFmtId="188" fontId="13" fillId="0" borderId="0" xfId="0" applyNumberFormat="1" applyFont="1" applyBorder="1"/>
    <xf numFmtId="2" fontId="6" fillId="0" borderId="0" xfId="0" applyNumberFormat="1" applyFont="1" applyBorder="1"/>
    <xf numFmtId="43" fontId="11" fillId="0" borderId="3" xfId="1" applyFont="1" applyBorder="1"/>
    <xf numFmtId="0" fontId="14" fillId="0" borderId="0" xfId="3" applyFont="1" applyAlignment="1"/>
    <xf numFmtId="0" fontId="14" fillId="0" borderId="13" xfId="3" applyFont="1" applyBorder="1" applyAlignment="1">
      <alignment horizontal="center"/>
    </xf>
    <xf numFmtId="0" fontId="14" fillId="0" borderId="3" xfId="3" applyFont="1" applyBorder="1" applyAlignment="1">
      <alignment horizontal="center"/>
    </xf>
    <xf numFmtId="187" fontId="16" fillId="0" borderId="3" xfId="2" applyFont="1" applyBorder="1" applyAlignment="1">
      <alignment horizontal="center"/>
    </xf>
    <xf numFmtId="0" fontId="14" fillId="0" borderId="5" xfId="3" applyFont="1" applyBorder="1" applyAlignment="1"/>
    <xf numFmtId="0" fontId="14" fillId="0" borderId="4" xfId="3" applyFont="1" applyBorder="1" applyAlignment="1"/>
    <xf numFmtId="187" fontId="16" fillId="0" borderId="4" xfId="2" applyFont="1" applyBorder="1" applyAlignment="1">
      <alignment horizontal="center"/>
    </xf>
    <xf numFmtId="0" fontId="6" fillId="0" borderId="16" xfId="3" applyFont="1" applyBorder="1" applyAlignment="1">
      <alignment horizontal="center"/>
    </xf>
    <xf numFmtId="0" fontId="17" fillId="0" borderId="16" xfId="3" applyFont="1" applyBorder="1"/>
    <xf numFmtId="0" fontId="18" fillId="0" borderId="16" xfId="3" applyFont="1" applyBorder="1"/>
    <xf numFmtId="187" fontId="11" fillId="0" borderId="6" xfId="2" applyFont="1" applyBorder="1"/>
    <xf numFmtId="0" fontId="19" fillId="0" borderId="16" xfId="3" applyFont="1" applyBorder="1"/>
    <xf numFmtId="0" fontId="13" fillId="0" borderId="6" xfId="3" applyFont="1" applyBorder="1"/>
    <xf numFmtId="0" fontId="15" fillId="0" borderId="19" xfId="3" applyFont="1" applyBorder="1"/>
    <xf numFmtId="0" fontId="19" fillId="0" borderId="0" xfId="3" applyFont="1" applyAlignment="1"/>
    <xf numFmtId="0" fontId="15" fillId="0" borderId="0" xfId="0" applyFont="1"/>
    <xf numFmtId="0" fontId="15" fillId="0" borderId="0" xfId="3" applyFont="1" applyAlignment="1"/>
    <xf numFmtId="0" fontId="19" fillId="0" borderId="13" xfId="3" applyFont="1" applyBorder="1" applyAlignment="1">
      <alignment horizontal="center"/>
    </xf>
    <xf numFmtId="0" fontId="19" fillId="0" borderId="3" xfId="3" applyFont="1" applyBorder="1" applyAlignment="1">
      <alignment horizontal="center"/>
    </xf>
    <xf numFmtId="187" fontId="21" fillId="0" borderId="3" xfId="2" applyFont="1" applyBorder="1" applyAlignment="1">
      <alignment horizontal="center"/>
    </xf>
    <xf numFmtId="187" fontId="19" fillId="0" borderId="3" xfId="2" applyFont="1" applyBorder="1" applyAlignment="1">
      <alignment horizontal="center"/>
    </xf>
    <xf numFmtId="0" fontId="19" fillId="0" borderId="5" xfId="3" applyFont="1" applyBorder="1" applyAlignment="1"/>
    <xf numFmtId="0" fontId="19" fillId="0" borderId="4" xfId="3" applyFont="1" applyBorder="1" applyAlignment="1"/>
    <xf numFmtId="187" fontId="21" fillId="0" borderId="4" xfId="2" applyFont="1" applyBorder="1" applyAlignment="1">
      <alignment horizontal="center"/>
    </xf>
    <xf numFmtId="187" fontId="19" fillId="0" borderId="4" xfId="2" applyFont="1" applyBorder="1" applyAlignment="1">
      <alignment horizontal="center"/>
    </xf>
    <xf numFmtId="0" fontId="15" fillId="0" borderId="4" xfId="3" applyFont="1" applyBorder="1" applyAlignment="1">
      <alignment horizontal="center"/>
    </xf>
    <xf numFmtId="0" fontId="15" fillId="0" borderId="6" xfId="3" applyFont="1" applyBorder="1" applyAlignment="1">
      <alignment horizontal="center"/>
    </xf>
    <xf numFmtId="0" fontId="15" fillId="0" borderId="16" xfId="3" applyFont="1" applyBorder="1" applyAlignment="1">
      <alignment horizontal="center"/>
    </xf>
    <xf numFmtId="187" fontId="22" fillId="0" borderId="6" xfId="2" applyFont="1" applyBorder="1"/>
    <xf numFmtId="187" fontId="15" fillId="0" borderId="6" xfId="2" applyFont="1" applyBorder="1"/>
    <xf numFmtId="187" fontId="22" fillId="0" borderId="10" xfId="2" applyFont="1" applyBorder="1"/>
    <xf numFmtId="0" fontId="15" fillId="0" borderId="6" xfId="3" applyFont="1" applyBorder="1"/>
    <xf numFmtId="0" fontId="15" fillId="0" borderId="10" xfId="3" applyFont="1" applyBorder="1" applyAlignment="1">
      <alignment horizontal="center"/>
    </xf>
    <xf numFmtId="0" fontId="15" fillId="0" borderId="10" xfId="3" applyFont="1" applyBorder="1"/>
    <xf numFmtId="0" fontId="15" fillId="0" borderId="19" xfId="3" applyFont="1" applyBorder="1" applyAlignment="1">
      <alignment horizontal="center"/>
    </xf>
    <xf numFmtId="187" fontId="15" fillId="0" borderId="10" xfId="2" applyFont="1" applyBorder="1"/>
    <xf numFmtId="187" fontId="22" fillId="0" borderId="2" xfId="2" applyFont="1" applyBorder="1"/>
    <xf numFmtId="0" fontId="15" fillId="0" borderId="2" xfId="3" applyFont="1" applyBorder="1"/>
    <xf numFmtId="0" fontId="23" fillId="0" borderId="0" xfId="3" applyFont="1" applyAlignment="1"/>
    <xf numFmtId="0" fontId="23" fillId="0" borderId="13" xfId="3" applyFont="1" applyBorder="1" applyAlignment="1">
      <alignment horizontal="center"/>
    </xf>
    <xf numFmtId="187" fontId="16" fillId="2" borderId="3" xfId="2" applyFont="1" applyFill="1" applyBorder="1" applyAlignment="1">
      <alignment horizontal="center"/>
    </xf>
    <xf numFmtId="0" fontId="23" fillId="0" borderId="3" xfId="3" applyFont="1" applyBorder="1" applyAlignment="1">
      <alignment horizontal="center"/>
    </xf>
    <xf numFmtId="0" fontId="23" fillId="0" borderId="5" xfId="3" applyFont="1" applyBorder="1" applyAlignment="1"/>
    <xf numFmtId="187" fontId="16" fillId="2" borderId="4" xfId="2" applyFont="1" applyFill="1" applyBorder="1" applyAlignment="1">
      <alignment horizontal="center"/>
    </xf>
    <xf numFmtId="0" fontId="13" fillId="0" borderId="4" xfId="3" applyFont="1" applyBorder="1" applyAlignment="1">
      <alignment horizontal="center"/>
    </xf>
    <xf numFmtId="0" fontId="13" fillId="0" borderId="6" xfId="3" applyFont="1" applyBorder="1" applyAlignment="1">
      <alignment horizontal="center"/>
    </xf>
    <xf numFmtId="188" fontId="11" fillId="0" borderId="6" xfId="1" applyNumberFormat="1" applyFont="1" applyBorder="1"/>
    <xf numFmtId="189" fontId="11" fillId="0" borderId="6" xfId="2" applyNumberFormat="1" applyFont="1" applyBorder="1"/>
    <xf numFmtId="0" fontId="13" fillId="0" borderId="6" xfId="3" quotePrefix="1" applyFont="1" applyBorder="1"/>
    <xf numFmtId="0" fontId="15" fillId="0" borderId="7" xfId="3" applyFont="1" applyBorder="1"/>
    <xf numFmtId="43" fontId="12" fillId="0" borderId="0" xfId="1" applyFont="1"/>
    <xf numFmtId="0" fontId="13" fillId="0" borderId="12" xfId="3" applyFont="1" applyBorder="1" applyAlignment="1">
      <alignment horizontal="center"/>
    </xf>
    <xf numFmtId="0" fontId="6" fillId="0" borderId="18" xfId="3" applyFont="1" applyBorder="1" applyAlignment="1">
      <alignment horizontal="center"/>
    </xf>
    <xf numFmtId="0" fontId="15" fillId="0" borderId="18" xfId="3" applyFont="1" applyBorder="1"/>
    <xf numFmtId="0" fontId="13" fillId="0" borderId="12" xfId="3" applyFont="1" applyBorder="1"/>
    <xf numFmtId="0" fontId="13" fillId="0" borderId="20" xfId="3" applyFont="1" applyBorder="1" applyAlignment="1">
      <alignment horizontal="center"/>
    </xf>
    <xf numFmtId="0" fontId="6" fillId="0" borderId="21" xfId="3" applyFont="1" applyBorder="1" applyAlignment="1">
      <alignment horizontal="center"/>
    </xf>
    <xf numFmtId="0" fontId="19" fillId="0" borderId="21" xfId="3" applyFont="1" applyBorder="1"/>
    <xf numFmtId="187" fontId="22" fillId="0" borderId="20" xfId="2" applyNumberFormat="1" applyFont="1" applyBorder="1"/>
    <xf numFmtId="0" fontId="13" fillId="0" borderId="20" xfId="3" applyFont="1" applyBorder="1"/>
    <xf numFmtId="0" fontId="12" fillId="0" borderId="0" xfId="0" applyFont="1" applyAlignment="1">
      <alignment horizontal="center"/>
    </xf>
    <xf numFmtId="0" fontId="12" fillId="0" borderId="0" xfId="0" applyFont="1" applyBorder="1"/>
    <xf numFmtId="188" fontId="12" fillId="0" borderId="0" xfId="1" applyNumberFormat="1" applyFont="1" applyBorder="1"/>
    <xf numFmtId="188" fontId="12" fillId="0" borderId="0" xfId="1" applyNumberFormat="1" applyFont="1"/>
    <xf numFmtId="0" fontId="13" fillId="0" borderId="0" xfId="0" applyFont="1" applyBorder="1"/>
    <xf numFmtId="188" fontId="13" fillId="0" borderId="0" xfId="1" applyNumberFormat="1" applyFont="1" applyBorder="1"/>
    <xf numFmtId="188" fontId="12" fillId="0" borderId="0" xfId="0" applyNumberFormat="1" applyFont="1" applyBorder="1"/>
    <xf numFmtId="0" fontId="26" fillId="0" borderId="6" xfId="3" applyFont="1" applyBorder="1"/>
    <xf numFmtId="0" fontId="19" fillId="0" borderId="14" xfId="3" applyFont="1" applyBorder="1" applyAlignment="1">
      <alignment horizontal="center"/>
    </xf>
    <xf numFmtId="43" fontId="15" fillId="0" borderId="0" xfId="1" applyFont="1"/>
    <xf numFmtId="15" fontId="15" fillId="0" borderId="6" xfId="3" applyNumberFormat="1" applyFont="1" applyBorder="1" applyAlignment="1">
      <alignment horizontal="center"/>
    </xf>
    <xf numFmtId="189" fontId="22" fillId="0" borderId="6" xfId="2" applyNumberFormat="1" applyFont="1" applyBorder="1"/>
    <xf numFmtId="189" fontId="15" fillId="0" borderId="6" xfId="2" applyNumberFormat="1" applyFont="1" applyBorder="1"/>
    <xf numFmtId="189" fontId="22" fillId="0" borderId="10" xfId="2" applyNumberFormat="1" applyFont="1" applyBorder="1"/>
    <xf numFmtId="188" fontId="15" fillId="0" borderId="0" xfId="1" applyNumberFormat="1" applyFont="1"/>
    <xf numFmtId="0" fontId="15" fillId="0" borderId="0" xfId="0" applyFont="1" applyBorder="1"/>
    <xf numFmtId="43" fontId="15" fillId="0" borderId="0" xfId="1" applyFont="1" applyBorder="1"/>
    <xf numFmtId="188" fontId="15" fillId="0" borderId="0" xfId="1" applyNumberFormat="1" applyFont="1" applyBorder="1"/>
    <xf numFmtId="187" fontId="22" fillId="0" borderId="12" xfId="2" applyFont="1" applyBorder="1"/>
    <xf numFmtId="187" fontId="15" fillId="0" borderId="12" xfId="2" applyFont="1" applyBorder="1"/>
    <xf numFmtId="0" fontId="15" fillId="0" borderId="14" xfId="3" applyFont="1" applyBorder="1" applyAlignment="1">
      <alignment horizontal="center"/>
    </xf>
    <xf numFmtId="187" fontId="21" fillId="0" borderId="20" xfId="2" applyFont="1" applyBorder="1"/>
    <xf numFmtId="0" fontId="15" fillId="0" borderId="0" xfId="3" applyFont="1" applyBorder="1" applyAlignment="1">
      <alignment horizontal="center"/>
    </xf>
    <xf numFmtId="43" fontId="15" fillId="0" borderId="0" xfId="0" applyNumberFormat="1" applyFont="1" applyBorder="1"/>
    <xf numFmtId="0" fontId="15" fillId="0" borderId="0" xfId="0" applyFont="1" applyAlignment="1">
      <alignment horizontal="center"/>
    </xf>
    <xf numFmtId="43" fontId="22" fillId="0" borderId="10" xfId="1" applyFont="1" applyBorder="1"/>
    <xf numFmtId="43" fontId="15" fillId="0" borderId="6" xfId="1" applyFont="1" applyBorder="1"/>
    <xf numFmtId="0" fontId="15" fillId="0" borderId="9" xfId="3" applyFont="1" applyBorder="1"/>
    <xf numFmtId="0" fontId="15" fillId="0" borderId="0" xfId="3" applyFont="1"/>
    <xf numFmtId="0" fontId="22" fillId="0" borderId="0" xfId="3" applyFont="1"/>
    <xf numFmtId="0" fontId="19" fillId="0" borderId="3" xfId="3" applyFont="1" applyBorder="1" applyAlignment="1"/>
    <xf numFmtId="0" fontId="15" fillId="0" borderId="16" xfId="3" applyFont="1" applyBorder="1" applyAlignment="1">
      <alignment horizontal="left"/>
    </xf>
    <xf numFmtId="0" fontId="15" fillId="0" borderId="0" xfId="0" applyFont="1" applyAlignment="1">
      <alignment horizontal="right"/>
    </xf>
    <xf numFmtId="0" fontId="19" fillId="0" borderId="13" xfId="3" applyFont="1" applyBorder="1" applyAlignment="1"/>
    <xf numFmtId="0" fontId="15" fillId="0" borderId="3" xfId="3" applyFont="1" applyBorder="1" applyAlignment="1">
      <alignment horizontal="center"/>
    </xf>
    <xf numFmtId="0" fontId="19" fillId="0" borderId="4" xfId="3" applyFont="1" applyBorder="1" applyAlignment="1">
      <alignment horizontal="center"/>
    </xf>
    <xf numFmtId="0" fontId="19" fillId="0" borderId="16" xfId="3" applyFont="1" applyBorder="1" applyAlignment="1">
      <alignment horizontal="center"/>
    </xf>
    <xf numFmtId="0" fontId="15" fillId="0" borderId="22" xfId="3" applyFont="1" applyBorder="1" applyAlignment="1">
      <alignment horizontal="center"/>
    </xf>
    <xf numFmtId="187" fontId="19" fillId="0" borderId="20" xfId="2" applyFont="1" applyBorder="1"/>
    <xf numFmtId="189" fontId="19" fillId="0" borderId="20" xfId="2" applyNumberFormat="1" applyFont="1" applyBorder="1"/>
    <xf numFmtId="0" fontId="15" fillId="0" borderId="14" xfId="3" applyFont="1" applyBorder="1"/>
    <xf numFmtId="43" fontId="15" fillId="0" borderId="0" xfId="0" applyNumberFormat="1" applyFont="1"/>
    <xf numFmtId="2" fontId="15" fillId="0" borderId="0" xfId="0" applyNumberFormat="1" applyFont="1"/>
    <xf numFmtId="43" fontId="15" fillId="0" borderId="0" xfId="1" applyFont="1" applyAlignment="1">
      <alignment horizontal="right"/>
    </xf>
    <xf numFmtId="43" fontId="15" fillId="0" borderId="0" xfId="0" applyNumberFormat="1" applyFont="1" applyAlignment="1">
      <alignment horizontal="right"/>
    </xf>
    <xf numFmtId="43" fontId="15" fillId="0" borderId="23" xfId="0" applyNumberFormat="1" applyFont="1" applyBorder="1"/>
    <xf numFmtId="0" fontId="19" fillId="0" borderId="0" xfId="3" applyFont="1"/>
    <xf numFmtId="189" fontId="21" fillId="0" borderId="20" xfId="2" applyNumberFormat="1" applyFont="1" applyBorder="1"/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43" fontId="27" fillId="0" borderId="0" xfId="0" applyNumberFormat="1" applyFont="1"/>
    <xf numFmtId="188" fontId="15" fillId="0" borderId="0" xfId="0" applyNumberFormat="1" applyFont="1" applyBorder="1"/>
    <xf numFmtId="0" fontId="19" fillId="0" borderId="6" xfId="3" applyFont="1" applyBorder="1" applyAlignment="1">
      <alignment horizontal="center"/>
    </xf>
    <xf numFmtId="0" fontId="19" fillId="0" borderId="0" xfId="0" applyFont="1"/>
    <xf numFmtId="187" fontId="27" fillId="0" borderId="10" xfId="2" applyFont="1" applyBorder="1"/>
    <xf numFmtId="0" fontId="23" fillId="0" borderId="13" xfId="3" applyFont="1" applyBorder="1" applyAlignment="1"/>
    <xf numFmtId="15" fontId="13" fillId="0" borderId="6" xfId="3" applyNumberFormat="1" applyFont="1" applyBorder="1" applyAlignment="1">
      <alignment horizontal="center"/>
    </xf>
    <xf numFmtId="187" fontId="24" fillId="0" borderId="20" xfId="2" applyFont="1" applyBorder="1"/>
    <xf numFmtId="0" fontId="19" fillId="0" borderId="0" xfId="3" applyFont="1" applyAlignment="1">
      <alignment horizontal="left"/>
    </xf>
    <xf numFmtId="43" fontId="3" fillId="0" borderId="0" xfId="1" applyFont="1"/>
    <xf numFmtId="187" fontId="15" fillId="0" borderId="9" xfId="2" applyFont="1" applyBorder="1"/>
    <xf numFmtId="187" fontId="15" fillId="0" borderId="2" xfId="2" applyFont="1" applyBorder="1"/>
    <xf numFmtId="43" fontId="22" fillId="0" borderId="6" xfId="1" applyFont="1" applyBorder="1"/>
    <xf numFmtId="43" fontId="13" fillId="0" borderId="2" xfId="1" applyFont="1" applyBorder="1"/>
    <xf numFmtId="0" fontId="13" fillId="0" borderId="16" xfId="3" applyFont="1" applyBorder="1"/>
    <xf numFmtId="0" fontId="13" fillId="0" borderId="19" xfId="3" applyFont="1" applyBorder="1"/>
    <xf numFmtId="0" fontId="25" fillId="0" borderId="9" xfId="3" applyFont="1" applyBorder="1"/>
    <xf numFmtId="43" fontId="6" fillId="0" borderId="0" xfId="1" applyFont="1" applyBorder="1"/>
    <xf numFmtId="43" fontId="13" fillId="0" borderId="17" xfId="0" applyNumberFormat="1" applyFont="1" applyBorder="1"/>
    <xf numFmtId="0" fontId="13" fillId="0" borderId="10" xfId="3" applyFont="1" applyBorder="1"/>
    <xf numFmtId="0" fontId="15" fillId="0" borderId="2" xfId="0" applyFont="1" applyBorder="1"/>
    <xf numFmtId="43" fontId="15" fillId="0" borderId="17" xfId="0" applyNumberFormat="1" applyFont="1" applyBorder="1"/>
    <xf numFmtId="0" fontId="28" fillId="0" borderId="6" xfId="3" applyFont="1" applyBorder="1"/>
    <xf numFmtId="189" fontId="24" fillId="0" borderId="20" xfId="2" applyNumberFormat="1" applyFont="1" applyBorder="1"/>
    <xf numFmtId="189" fontId="20" fillId="0" borderId="6" xfId="2" applyNumberFormat="1" applyFont="1" applyBorder="1"/>
    <xf numFmtId="2" fontId="6" fillId="0" borderId="6" xfId="0" applyNumberFormat="1" applyFont="1" applyBorder="1" applyAlignment="1">
      <alignment horizontal="right"/>
    </xf>
    <xf numFmtId="188" fontId="19" fillId="0" borderId="0" xfId="1" applyNumberFormat="1" applyFont="1"/>
    <xf numFmtId="189" fontId="20" fillId="0" borderId="10" xfId="2" applyNumberFormat="1" applyFont="1" applyBorder="1"/>
    <xf numFmtId="0" fontId="15" fillId="0" borderId="4" xfId="0" applyFont="1" applyBorder="1" applyAlignment="1">
      <alignment horizontal="center"/>
    </xf>
    <xf numFmtId="2" fontId="25" fillId="0" borderId="6" xfId="0" applyNumberFormat="1" applyFont="1" applyBorder="1"/>
    <xf numFmtId="2" fontId="13" fillId="0" borderId="6" xfId="0" applyNumberFormat="1" applyFont="1" applyBorder="1"/>
    <xf numFmtId="0" fontId="13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188" fontId="6" fillId="0" borderId="2" xfId="0" applyNumberFormat="1" applyFont="1" applyBorder="1"/>
    <xf numFmtId="188" fontId="11" fillId="0" borderId="3" xfId="1" applyNumberFormat="1" applyFont="1" applyBorder="1"/>
    <xf numFmtId="0" fontId="1" fillId="0" borderId="0" xfId="0" applyFont="1" applyBorder="1"/>
    <xf numFmtId="188" fontId="27" fillId="0" borderId="6" xfId="1" applyNumberFormat="1" applyFont="1" applyBorder="1"/>
    <xf numFmtId="187" fontId="22" fillId="0" borderId="20" xfId="2" applyFont="1" applyBorder="1"/>
    <xf numFmtId="188" fontId="15" fillId="0" borderId="6" xfId="1" applyNumberFormat="1" applyFont="1" applyBorder="1"/>
    <xf numFmtId="0" fontId="19" fillId="0" borderId="0" xfId="3" applyFont="1" applyAlignment="1">
      <alignment horizontal="right"/>
    </xf>
    <xf numFmtId="43" fontId="15" fillId="0" borderId="0" xfId="1" applyFont="1" applyBorder="1" applyAlignment="1">
      <alignment horizontal="right"/>
    </xf>
    <xf numFmtId="0" fontId="15" fillId="0" borderId="16" xfId="3" applyFont="1" applyBorder="1" applyAlignment="1"/>
    <xf numFmtId="0" fontId="6" fillId="0" borderId="0" xfId="3" applyFont="1" applyAlignment="1"/>
    <xf numFmtId="0" fontId="19" fillId="0" borderId="16" xfId="3" applyFont="1" applyBorder="1" applyAlignment="1">
      <alignment horizontal="left"/>
    </xf>
    <xf numFmtId="43" fontId="6" fillId="0" borderId="0" xfId="0" applyNumberFormat="1" applyFont="1" applyAlignment="1">
      <alignment horizontal="center"/>
    </xf>
    <xf numFmtId="0" fontId="6" fillId="0" borderId="16" xfId="3" applyFont="1" applyBorder="1"/>
    <xf numFmtId="0" fontId="6" fillId="0" borderId="19" xfId="3" applyFont="1" applyBorder="1"/>
    <xf numFmtId="0" fontId="14" fillId="0" borderId="14" xfId="3" applyFont="1" applyBorder="1" applyAlignment="1">
      <alignment horizontal="center"/>
    </xf>
    <xf numFmtId="0" fontId="30" fillId="0" borderId="6" xfId="0" applyFont="1" applyBorder="1" applyAlignment="1">
      <alignment horizontal="left"/>
    </xf>
    <xf numFmtId="0" fontId="31" fillId="0" borderId="6" xfId="0" applyFont="1" applyBorder="1"/>
    <xf numFmtId="187" fontId="27" fillId="0" borderId="6" xfId="2" applyFont="1" applyBorder="1"/>
    <xf numFmtId="0" fontId="34" fillId="0" borderId="6" xfId="0" applyFont="1" applyBorder="1" applyAlignment="1">
      <alignment horizontal="left"/>
    </xf>
    <xf numFmtId="0" fontId="35" fillId="0" borderId="6" xfId="0" applyFont="1" applyBorder="1" applyAlignment="1">
      <alignment horizontal="left"/>
    </xf>
    <xf numFmtId="0" fontId="14" fillId="0" borderId="0" xfId="3" applyFont="1"/>
    <xf numFmtId="0" fontId="34" fillId="0" borderId="6" xfId="0" applyFont="1" applyBorder="1"/>
    <xf numFmtId="0" fontId="15" fillId="0" borderId="18" xfId="3" applyFont="1" applyBorder="1" applyAlignment="1">
      <alignment horizontal="center"/>
    </xf>
    <xf numFmtId="0" fontId="15" fillId="0" borderId="21" xfId="3" applyFont="1" applyBorder="1" applyAlignment="1">
      <alignment horizontal="center"/>
    </xf>
    <xf numFmtId="43" fontId="12" fillId="0" borderId="0" xfId="0" applyNumberFormat="1" applyFont="1" applyAlignment="1">
      <alignment horizontal="center"/>
    </xf>
    <xf numFmtId="0" fontId="19" fillId="0" borderId="6" xfId="3" applyFont="1" applyBorder="1"/>
    <xf numFmtId="187" fontId="15" fillId="0" borderId="6" xfId="2" applyNumberFormat="1" applyFont="1" applyBorder="1"/>
    <xf numFmtId="0" fontId="15" fillId="0" borderId="2" xfId="0" applyFont="1" applyBorder="1" applyAlignment="1">
      <alignment horizontal="center"/>
    </xf>
    <xf numFmtId="187" fontId="24" fillId="0" borderId="2" xfId="2" applyFont="1" applyBorder="1"/>
    <xf numFmtId="43" fontId="15" fillId="0" borderId="2" xfId="0" applyNumberFormat="1" applyFont="1" applyBorder="1"/>
    <xf numFmtId="187" fontId="21" fillId="0" borderId="10" xfId="2" applyFont="1" applyBorder="1"/>
    <xf numFmtId="0" fontId="19" fillId="0" borderId="24" xfId="3" applyFont="1" applyBorder="1"/>
    <xf numFmtId="0" fontId="15" fillId="0" borderId="12" xfId="3" applyFont="1" applyBorder="1" applyAlignment="1">
      <alignment horizontal="center"/>
    </xf>
    <xf numFmtId="189" fontId="11" fillId="0" borderId="12" xfId="2" applyNumberFormat="1" applyFont="1" applyBorder="1"/>
    <xf numFmtId="4" fontId="15" fillId="0" borderId="6" xfId="2" applyNumberFormat="1" applyFont="1" applyBorder="1"/>
    <xf numFmtId="43" fontId="19" fillId="0" borderId="0" xfId="1" applyFont="1"/>
    <xf numFmtId="43" fontId="19" fillId="0" borderId="3" xfId="1" applyFont="1" applyBorder="1" applyAlignment="1">
      <alignment horizontal="center"/>
    </xf>
    <xf numFmtId="43" fontId="19" fillId="0" borderId="4" xfId="1" applyFont="1" applyBorder="1" applyAlignment="1">
      <alignment horizontal="center"/>
    </xf>
    <xf numFmtId="43" fontId="19" fillId="0" borderId="20" xfId="1" applyFont="1" applyBorder="1"/>
    <xf numFmtId="43" fontId="27" fillId="0" borderId="0" xfId="1" applyFont="1"/>
    <xf numFmtId="0" fontId="27" fillId="0" borderId="16" xfId="3" applyFont="1" applyBorder="1"/>
    <xf numFmtId="187" fontId="20" fillId="0" borderId="2" xfId="2" applyFont="1" applyBorder="1"/>
    <xf numFmtId="190" fontId="15" fillId="0" borderId="6" xfId="1" applyNumberFormat="1" applyFont="1" applyBorder="1"/>
    <xf numFmtId="189" fontId="15" fillId="0" borderId="10" xfId="2" applyNumberFormat="1" applyFont="1" applyBorder="1"/>
    <xf numFmtId="0" fontId="13" fillId="0" borderId="9" xfId="3" quotePrefix="1" applyFont="1" applyBorder="1"/>
    <xf numFmtId="0" fontId="32" fillId="0" borderId="0" xfId="0" applyFont="1"/>
    <xf numFmtId="189" fontId="22" fillId="0" borderId="20" xfId="2" applyNumberFormat="1" applyFont="1" applyBorder="1"/>
    <xf numFmtId="0" fontId="30" fillId="0" borderId="16" xfId="0" applyFont="1" applyBorder="1" applyAlignment="1">
      <alignment horizontal="left"/>
    </xf>
    <xf numFmtId="43" fontId="15" fillId="0" borderId="10" xfId="1" applyFont="1" applyBorder="1"/>
    <xf numFmtId="43" fontId="13" fillId="0" borderId="0" xfId="1" applyFont="1"/>
    <xf numFmtId="187" fontId="6" fillId="0" borderId="6" xfId="2" applyFont="1" applyBorder="1"/>
    <xf numFmtId="15" fontId="25" fillId="0" borderId="6" xfId="3" applyNumberFormat="1" applyFont="1" applyBorder="1" applyAlignment="1">
      <alignment horizontal="center"/>
    </xf>
    <xf numFmtId="43" fontId="21" fillId="0" borderId="20" xfId="1" applyFont="1" applyBorder="1"/>
    <xf numFmtId="0" fontId="19" fillId="0" borderId="19" xfId="3" applyFont="1" applyBorder="1"/>
    <xf numFmtId="187" fontId="14" fillId="0" borderId="3" xfId="2" applyFont="1" applyBorder="1" applyAlignment="1">
      <alignment horizontal="center"/>
    </xf>
    <xf numFmtId="187" fontId="14" fillId="0" borderId="4" xfId="2" applyFont="1" applyBorder="1" applyAlignment="1">
      <alignment horizontal="center"/>
    </xf>
    <xf numFmtId="189" fontId="6" fillId="0" borderId="6" xfId="2" applyNumberFormat="1" applyFont="1" applyBorder="1"/>
    <xf numFmtId="188" fontId="14" fillId="0" borderId="0" xfId="1" applyNumberFormat="1" applyFont="1"/>
    <xf numFmtId="43" fontId="32" fillId="0" borderId="0" xfId="0" applyNumberFormat="1" applyFont="1"/>
    <xf numFmtId="43" fontId="27" fillId="0" borderId="6" xfId="1" applyFont="1" applyBorder="1"/>
    <xf numFmtId="187" fontId="35" fillId="0" borderId="6" xfId="2" applyFont="1" applyBorder="1"/>
    <xf numFmtId="43" fontId="11" fillId="0" borderId="6" xfId="1" applyFont="1" applyBorder="1"/>
    <xf numFmtId="187" fontId="11" fillId="0" borderId="10" xfId="2" applyFont="1" applyBorder="1"/>
    <xf numFmtId="0" fontId="13" fillId="0" borderId="9" xfId="3" applyFont="1" applyBorder="1"/>
    <xf numFmtId="0" fontId="15" fillId="0" borderId="9" xfId="3" applyFont="1" applyBorder="1" applyAlignment="1">
      <alignment horizontal="center"/>
    </xf>
    <xf numFmtId="189" fontId="6" fillId="0" borderId="0" xfId="0" applyNumberFormat="1" applyFont="1"/>
    <xf numFmtId="189" fontId="6" fillId="0" borderId="0" xfId="1" applyNumberFormat="1" applyFont="1"/>
    <xf numFmtId="189" fontId="6" fillId="0" borderId="0" xfId="1" applyNumberFormat="1" applyFont="1" applyBorder="1"/>
    <xf numFmtId="189" fontId="6" fillId="0" borderId="0" xfId="0" applyNumberFormat="1" applyFont="1" applyBorder="1" applyAlignment="1">
      <alignment vertical="center"/>
    </xf>
    <xf numFmtId="189" fontId="6" fillId="0" borderId="0" xfId="0" applyNumberFormat="1" applyFont="1" applyBorder="1"/>
    <xf numFmtId="189" fontId="6" fillId="0" borderId="0" xfId="3" applyNumberFormat="1" applyFont="1"/>
    <xf numFmtId="187" fontId="14" fillId="0" borderId="20" xfId="2" applyFont="1" applyBorder="1"/>
    <xf numFmtId="187" fontId="32" fillId="0" borderId="6" xfId="2" applyFont="1" applyBorder="1"/>
    <xf numFmtId="43" fontId="13" fillId="0" borderId="0" xfId="0" applyNumberFormat="1" applyFont="1"/>
    <xf numFmtId="0" fontId="15" fillId="0" borderId="24" xfId="3" applyFont="1" applyBorder="1"/>
    <xf numFmtId="187" fontId="11" fillId="0" borderId="9" xfId="2" applyFont="1" applyBorder="1"/>
    <xf numFmtId="189" fontId="11" fillId="0" borderId="9" xfId="2" applyNumberFormat="1" applyFont="1" applyBorder="1"/>
    <xf numFmtId="189" fontId="11" fillId="0" borderId="10" xfId="2" applyNumberFormat="1" applyFont="1" applyBorder="1"/>
    <xf numFmtId="187" fontId="11" fillId="0" borderId="4" xfId="2" applyFont="1" applyBorder="1"/>
    <xf numFmtId="189" fontId="11" fillId="0" borderId="4" xfId="2" applyNumberFormat="1" applyFont="1" applyBorder="1"/>
    <xf numFmtId="189" fontId="16" fillId="0" borderId="4" xfId="2" applyNumberFormat="1" applyFont="1" applyBorder="1"/>
    <xf numFmtId="0" fontId="13" fillId="0" borderId="4" xfId="3" applyFont="1" applyBorder="1"/>
    <xf numFmtId="189" fontId="16" fillId="0" borderId="6" xfId="2" applyNumberFormat="1" applyFont="1" applyBorder="1"/>
    <xf numFmtId="187" fontId="6" fillId="0" borderId="12" xfId="2" applyFont="1" applyBorder="1"/>
    <xf numFmtId="187" fontId="15" fillId="0" borderId="20" xfId="2" applyNumberFormat="1" applyFont="1" applyBorder="1"/>
    <xf numFmtId="43" fontId="32" fillId="0" borderId="0" xfId="1" applyFont="1"/>
    <xf numFmtId="187" fontId="19" fillId="0" borderId="6" xfId="2" applyFont="1" applyBorder="1"/>
    <xf numFmtId="188" fontId="11" fillId="0" borderId="9" xfId="1" applyNumberFormat="1" applyFont="1" applyBorder="1"/>
    <xf numFmtId="0" fontId="19" fillId="0" borderId="14" xfId="3" applyFont="1" applyBorder="1"/>
    <xf numFmtId="188" fontId="11" fillId="0" borderId="14" xfId="1" applyNumberFormat="1" applyFont="1" applyBorder="1"/>
    <xf numFmtId="187" fontId="11" fillId="0" borderId="14" xfId="2" applyFont="1" applyBorder="1"/>
    <xf numFmtId="189" fontId="11" fillId="0" borderId="14" xfId="2" applyNumberFormat="1" applyFont="1" applyBorder="1"/>
    <xf numFmtId="0" fontId="13" fillId="0" borderId="14" xfId="3" applyFont="1" applyBorder="1"/>
    <xf numFmtId="0" fontId="19" fillId="0" borderId="2" xfId="3" applyFont="1" applyBorder="1"/>
    <xf numFmtId="188" fontId="11" fillId="0" borderId="2" xfId="1" applyNumberFormat="1" applyFont="1" applyBorder="1"/>
    <xf numFmtId="187" fontId="14" fillId="0" borderId="6" xfId="2" applyFont="1" applyBorder="1"/>
    <xf numFmtId="188" fontId="14" fillId="0" borderId="6" xfId="1" applyNumberFormat="1" applyFont="1" applyBorder="1"/>
    <xf numFmtId="187" fontId="15" fillId="4" borderId="10" xfId="2" applyFont="1" applyFill="1" applyBorder="1"/>
    <xf numFmtId="0" fontId="29" fillId="0" borderId="0" xfId="3" applyFont="1" applyAlignment="1"/>
    <xf numFmtId="189" fontId="27" fillId="0" borderId="6" xfId="2" applyNumberFormat="1" applyFont="1" applyBorder="1"/>
    <xf numFmtId="0" fontId="29" fillId="0" borderId="0" xfId="0" applyFont="1"/>
    <xf numFmtId="0" fontId="27" fillId="0" borderId="0" xfId="0" applyFont="1"/>
    <xf numFmtId="189" fontId="27" fillId="0" borderId="10" xfId="2" applyNumberFormat="1" applyFont="1" applyBorder="1"/>
    <xf numFmtId="43" fontId="27" fillId="0" borderId="0" xfId="1" applyFont="1" applyBorder="1"/>
    <xf numFmtId="0" fontId="6" fillId="0" borderId="6" xfId="3" applyFont="1" applyBorder="1"/>
    <xf numFmtId="187" fontId="24" fillId="0" borderId="3" xfId="2" applyFont="1" applyBorder="1" applyAlignment="1">
      <alignment horizontal="center"/>
    </xf>
    <xf numFmtId="189" fontId="23" fillId="0" borderId="3" xfId="2" applyNumberFormat="1" applyFont="1" applyBorder="1" applyAlignment="1">
      <alignment horizontal="center"/>
    </xf>
    <xf numFmtId="187" fontId="37" fillId="0" borderId="3" xfId="2" applyFont="1" applyBorder="1" applyAlignment="1">
      <alignment horizontal="center"/>
    </xf>
    <xf numFmtId="187" fontId="23" fillId="0" borderId="3" xfId="2" applyFont="1" applyBorder="1" applyAlignment="1">
      <alignment horizontal="center"/>
    </xf>
    <xf numFmtId="0" fontId="23" fillId="0" borderId="4" xfId="3" applyFont="1" applyBorder="1" applyAlignment="1"/>
    <xf numFmtId="187" fontId="24" fillId="0" borderId="4" xfId="2" applyFont="1" applyBorder="1" applyAlignment="1">
      <alignment horizontal="center"/>
    </xf>
    <xf numFmtId="189" fontId="23" fillId="0" borderId="4" xfId="2" applyNumberFormat="1" applyFont="1" applyBorder="1" applyAlignment="1">
      <alignment horizontal="center"/>
    </xf>
    <xf numFmtId="187" fontId="37" fillId="0" borderId="4" xfId="2" applyFont="1" applyBorder="1" applyAlignment="1">
      <alignment horizontal="center"/>
    </xf>
    <xf numFmtId="187" fontId="23" fillId="0" borderId="4" xfId="2" applyFont="1" applyBorder="1" applyAlignment="1">
      <alignment horizontal="center"/>
    </xf>
    <xf numFmtId="0" fontId="23" fillId="0" borderId="4" xfId="3" applyFont="1" applyBorder="1" applyAlignment="1">
      <alignment horizontal="center"/>
    </xf>
    <xf numFmtId="0" fontId="13" fillId="0" borderId="19" xfId="3" applyFont="1" applyBorder="1" applyAlignment="1">
      <alignment horizontal="center"/>
    </xf>
    <xf numFmtId="187" fontId="13" fillId="0" borderId="10" xfId="2" applyFont="1" applyBorder="1"/>
    <xf numFmtId="189" fontId="13" fillId="0" borderId="10" xfId="2" applyNumberFormat="1" applyFont="1" applyBorder="1"/>
    <xf numFmtId="189" fontId="33" fillId="0" borderId="6" xfId="2" applyNumberFormat="1" applyFont="1" applyBorder="1"/>
    <xf numFmtId="189" fontId="13" fillId="0" borderId="6" xfId="2" applyNumberFormat="1" applyFont="1" applyBorder="1"/>
    <xf numFmtId="0" fontId="31" fillId="0" borderId="3" xfId="0" applyFont="1" applyBorder="1"/>
    <xf numFmtId="188" fontId="13" fillId="0" borderId="3" xfId="1" applyNumberFormat="1" applyFont="1" applyBorder="1"/>
    <xf numFmtId="187" fontId="33" fillId="0" borderId="6" xfId="2" applyFont="1" applyBorder="1"/>
    <xf numFmtId="187" fontId="33" fillId="0" borderId="10" xfId="2" applyFont="1" applyBorder="1"/>
    <xf numFmtId="0" fontId="13" fillId="0" borderId="18" xfId="3" applyFont="1" applyBorder="1"/>
    <xf numFmtId="187" fontId="13" fillId="0" borderId="12" xfId="2" applyFont="1" applyBorder="1"/>
    <xf numFmtId="0" fontId="13" fillId="0" borderId="14" xfId="3" applyFont="1" applyBorder="1" applyAlignment="1">
      <alignment horizontal="center"/>
    </xf>
    <xf numFmtId="0" fontId="23" fillId="0" borderId="14" xfId="3" applyFont="1" applyBorder="1" applyAlignment="1">
      <alignment horizontal="center"/>
    </xf>
    <xf numFmtId="189" fontId="23" fillId="0" borderId="20" xfId="2" applyNumberFormat="1" applyFont="1" applyBorder="1"/>
    <xf numFmtId="189" fontId="37" fillId="0" borderId="20" xfId="2" applyNumberFormat="1" applyFont="1" applyBorder="1"/>
    <xf numFmtId="188" fontId="6" fillId="0" borderId="0" xfId="0" applyNumberFormat="1" applyFont="1" applyBorder="1"/>
    <xf numFmtId="189" fontId="15" fillId="0" borderId="0" xfId="0" applyNumberFormat="1" applyFont="1"/>
    <xf numFmtId="187" fontId="21" fillId="0" borderId="12" xfId="2" applyFont="1" applyBorder="1"/>
    <xf numFmtId="187" fontId="19" fillId="0" borderId="12" xfId="2" applyFont="1" applyBorder="1"/>
    <xf numFmtId="0" fontId="15" fillId="0" borderId="19" xfId="3" applyFont="1" applyBorder="1" applyAlignment="1">
      <alignment horizontal="left"/>
    </xf>
    <xf numFmtId="187" fontId="22" fillId="0" borderId="9" xfId="2" applyFont="1" applyBorder="1"/>
    <xf numFmtId="189" fontId="22" fillId="0" borderId="9" xfId="2" applyNumberFormat="1" applyFont="1" applyBorder="1"/>
    <xf numFmtId="187" fontId="21" fillId="0" borderId="6" xfId="2" applyFont="1" applyBorder="1"/>
    <xf numFmtId="15" fontId="15" fillId="0" borderId="9" xfId="3" applyNumberFormat="1" applyFont="1" applyBorder="1" applyAlignment="1">
      <alignment horizontal="center"/>
    </xf>
    <xf numFmtId="189" fontId="22" fillId="0" borderId="12" xfId="2" applyNumberFormat="1" applyFont="1" applyBorder="1"/>
    <xf numFmtId="43" fontId="11" fillId="0" borderId="12" xfId="1" applyFont="1" applyBorder="1"/>
    <xf numFmtId="190" fontId="15" fillId="0" borderId="12" xfId="1" applyNumberFormat="1" applyFont="1" applyBorder="1"/>
    <xf numFmtId="189" fontId="13" fillId="0" borderId="6" xfId="3" applyNumberFormat="1" applyFont="1" applyBorder="1"/>
    <xf numFmtId="187" fontId="6" fillId="0" borderId="10" xfId="2" applyFont="1" applyBorder="1"/>
    <xf numFmtId="43" fontId="22" fillId="0" borderId="12" xfId="1" applyFont="1" applyBorder="1"/>
    <xf numFmtId="187" fontId="20" fillId="0" borderId="6" xfId="2" applyFont="1" applyBorder="1"/>
    <xf numFmtId="187" fontId="20" fillId="0" borderId="10" xfId="2" applyFont="1" applyBorder="1"/>
    <xf numFmtId="187" fontId="20" fillId="0" borderId="12" xfId="2" applyFont="1" applyBorder="1"/>
    <xf numFmtId="188" fontId="22" fillId="0" borderId="10" xfId="1" applyNumberFormat="1" applyFont="1" applyBorder="1"/>
    <xf numFmtId="187" fontId="39" fillId="0" borderId="20" xfId="2" applyFont="1" applyBorder="1"/>
    <xf numFmtId="189" fontId="20" fillId="0" borderId="12" xfId="2" applyNumberFormat="1" applyFont="1" applyBorder="1"/>
    <xf numFmtId="187" fontId="21" fillId="2" borderId="3" xfId="2" applyFont="1" applyFill="1" applyBorder="1" applyAlignment="1">
      <alignment horizontal="center"/>
    </xf>
    <xf numFmtId="187" fontId="21" fillId="2" borderId="4" xfId="2" applyFont="1" applyFill="1" applyBorder="1" applyAlignment="1">
      <alignment horizontal="center"/>
    </xf>
    <xf numFmtId="0" fontId="40" fillId="0" borderId="9" xfId="3" applyFont="1" applyBorder="1"/>
    <xf numFmtId="43" fontId="38" fillId="0" borderId="6" xfId="1" applyFont="1" applyBorder="1"/>
    <xf numFmtId="0" fontId="38" fillId="0" borderId="16" xfId="3" applyFont="1" applyBorder="1"/>
    <xf numFmtId="189" fontId="38" fillId="0" borderId="6" xfId="2" applyNumberFormat="1" applyFont="1" applyBorder="1"/>
    <xf numFmtId="0" fontId="15" fillId="0" borderId="6" xfId="2" applyNumberFormat="1" applyFont="1" applyBorder="1"/>
    <xf numFmtId="43" fontId="6" fillId="0" borderId="0" xfId="1" applyFont="1" applyAlignment="1">
      <alignment horizontal="right"/>
    </xf>
    <xf numFmtId="43" fontId="6" fillId="0" borderId="23" xfId="1" applyFont="1" applyBorder="1"/>
    <xf numFmtId="189" fontId="19" fillId="0" borderId="0" xfId="3" applyNumberFormat="1" applyFont="1" applyAlignment="1"/>
    <xf numFmtId="189" fontId="21" fillId="0" borderId="3" xfId="2" applyNumberFormat="1" applyFont="1" applyBorder="1" applyAlignment="1">
      <alignment horizontal="center"/>
    </xf>
    <xf numFmtId="189" fontId="21" fillId="0" borderId="4" xfId="2" applyNumberFormat="1" applyFont="1" applyBorder="1" applyAlignment="1">
      <alignment horizontal="center"/>
    </xf>
    <xf numFmtId="189" fontId="15" fillId="0" borderId="0" xfId="1" applyNumberFormat="1" applyFont="1"/>
    <xf numFmtId="189" fontId="15" fillId="0" borderId="0" xfId="0" applyNumberFormat="1" applyFont="1" applyBorder="1" applyAlignment="1">
      <alignment horizontal="center" vertical="center"/>
    </xf>
    <xf numFmtId="189" fontId="15" fillId="0" borderId="0" xfId="1" applyNumberFormat="1" applyFont="1" applyBorder="1"/>
    <xf numFmtId="189" fontId="15" fillId="0" borderId="0" xfId="0" applyNumberFormat="1" applyFont="1" applyBorder="1"/>
    <xf numFmtId="0" fontId="6" fillId="0" borderId="7" xfId="3" applyFont="1" applyBorder="1"/>
    <xf numFmtId="0" fontId="6" fillId="0" borderId="18" xfId="3" applyFont="1" applyBorder="1"/>
    <xf numFmtId="0" fontId="14" fillId="0" borderId="21" xfId="3" applyFont="1" applyBorder="1"/>
    <xf numFmtId="0" fontId="6" fillId="0" borderId="18" xfId="3" applyFont="1" applyBorder="1" applyAlignment="1">
      <alignment horizontal="left"/>
    </xf>
    <xf numFmtId="0" fontId="14" fillId="0" borderId="19" xfId="3" applyFont="1" applyBorder="1"/>
    <xf numFmtId="189" fontId="19" fillId="0" borderId="3" xfId="2" applyNumberFormat="1" applyFont="1" applyBorder="1" applyAlignment="1">
      <alignment horizontal="center"/>
    </xf>
    <xf numFmtId="189" fontId="19" fillId="0" borderId="4" xfId="2" applyNumberFormat="1" applyFont="1" applyBorder="1" applyAlignment="1">
      <alignment horizontal="center"/>
    </xf>
    <xf numFmtId="189" fontId="15" fillId="0" borderId="12" xfId="2" applyNumberFormat="1" applyFont="1" applyBorder="1"/>
    <xf numFmtId="189" fontId="22" fillId="0" borderId="14" xfId="2" applyNumberFormat="1" applyFont="1" applyBorder="1"/>
    <xf numFmtId="43" fontId="32" fillId="0" borderId="2" xfId="0" applyNumberFormat="1" applyFont="1" applyBorder="1"/>
    <xf numFmtId="0" fontId="13" fillId="3" borderId="6" xfId="3" applyFont="1" applyFill="1" applyBorder="1"/>
    <xf numFmtId="0" fontId="33" fillId="0" borderId="6" xfId="3" applyFont="1" applyBorder="1"/>
    <xf numFmtId="0" fontId="33" fillId="0" borderId="12" xfId="3" applyFont="1" applyBorder="1"/>
    <xf numFmtId="0" fontId="32" fillId="0" borderId="6" xfId="3" applyFont="1" applyBorder="1"/>
    <xf numFmtId="189" fontId="19" fillId="0" borderId="6" xfId="2" applyNumberFormat="1" applyFont="1" applyBorder="1"/>
    <xf numFmtId="189" fontId="15" fillId="4" borderId="6" xfId="2" applyNumberFormat="1" applyFont="1" applyFill="1" applyBorder="1"/>
    <xf numFmtId="0" fontId="6" fillId="5" borderId="6" xfId="0" applyFont="1" applyFill="1" applyBorder="1" applyAlignment="1">
      <alignment horizontal="left"/>
    </xf>
    <xf numFmtId="187" fontId="15" fillId="5" borderId="6" xfId="2" applyFont="1" applyFill="1" applyBorder="1"/>
    <xf numFmtId="43" fontId="15" fillId="5" borderId="6" xfId="1" applyFont="1" applyFill="1" applyBorder="1"/>
    <xf numFmtId="0" fontId="13" fillId="5" borderId="6" xfId="0" applyFont="1" applyFill="1" applyBorder="1"/>
    <xf numFmtId="0" fontId="12" fillId="5" borderId="6" xfId="0" applyFont="1" applyFill="1" applyBorder="1"/>
    <xf numFmtId="0" fontId="30" fillId="5" borderId="6" xfId="0" applyFont="1" applyFill="1" applyBorder="1" applyAlignment="1">
      <alignment horizontal="left"/>
    </xf>
    <xf numFmtId="187" fontId="22" fillId="5" borderId="6" xfId="2" applyFont="1" applyFill="1" applyBorder="1"/>
    <xf numFmtId="0" fontId="31" fillId="5" borderId="6" xfId="0" applyFont="1" applyFill="1" applyBorder="1"/>
    <xf numFmtId="0" fontId="30" fillId="4" borderId="6" xfId="0" applyFont="1" applyFill="1" applyBorder="1" applyAlignment="1">
      <alignment horizontal="left"/>
    </xf>
    <xf numFmtId="0" fontId="36" fillId="4" borderId="6" xfId="0" applyFont="1" applyFill="1" applyBorder="1" applyAlignment="1">
      <alignment horizontal="left"/>
    </xf>
    <xf numFmtId="0" fontId="13" fillId="3" borderId="12" xfId="3" applyFont="1" applyFill="1" applyBorder="1"/>
    <xf numFmtId="0" fontId="6" fillId="0" borderId="0" xfId="0" applyFont="1" applyAlignment="1">
      <alignment horizontal="center"/>
    </xf>
    <xf numFmtId="188" fontId="19" fillId="0" borderId="6" xfId="1" applyNumberFormat="1" applyFont="1" applyBorder="1"/>
    <xf numFmtId="189" fontId="19" fillId="4" borderId="6" xfId="2" applyNumberFormat="1" applyFont="1" applyFill="1" applyBorder="1"/>
    <xf numFmtId="0" fontId="15" fillId="0" borderId="9" xfId="3" quotePrefix="1" applyFont="1" applyBorder="1"/>
    <xf numFmtId="189" fontId="6" fillId="0" borderId="10" xfId="2" applyNumberFormat="1" applyFont="1" applyBorder="1"/>
    <xf numFmtId="189" fontId="14" fillId="0" borderId="6" xfId="2" applyNumberFormat="1" applyFont="1" applyBorder="1"/>
    <xf numFmtId="3" fontId="6" fillId="0" borderId="6" xfId="2" applyNumberFormat="1" applyFont="1" applyBorder="1"/>
    <xf numFmtId="187" fontId="19" fillId="0" borderId="10" xfId="2" applyFont="1" applyBorder="1"/>
    <xf numFmtId="187" fontId="29" fillId="0" borderId="10" xfId="2" applyFont="1" applyBorder="1"/>
    <xf numFmtId="189" fontId="21" fillId="0" borderId="6" xfId="2" applyNumberFormat="1" applyFont="1" applyBorder="1"/>
    <xf numFmtId="4" fontId="6" fillId="0" borderId="6" xfId="2" applyNumberFormat="1" applyFont="1" applyBorder="1"/>
    <xf numFmtId="0" fontId="14" fillId="0" borderId="16" xfId="3" applyFont="1" applyBorder="1"/>
    <xf numFmtId="187" fontId="21" fillId="0" borderId="20" xfId="2" applyNumberFormat="1" applyFont="1" applyBorder="1"/>
    <xf numFmtId="187" fontId="11" fillId="0" borderId="20" xfId="2" applyFont="1" applyBorder="1"/>
    <xf numFmtId="0" fontId="15" fillId="0" borderId="12" xfId="3" applyFont="1" applyBorder="1"/>
    <xf numFmtId="187" fontId="14" fillId="0" borderId="25" xfId="2" applyFont="1" applyBorder="1"/>
    <xf numFmtId="188" fontId="15" fillId="0" borderId="15" xfId="1" applyNumberFormat="1" applyFont="1" applyBorder="1"/>
    <xf numFmtId="188" fontId="14" fillId="0" borderId="15" xfId="1" applyNumberFormat="1" applyFont="1" applyBorder="1"/>
    <xf numFmtId="189" fontId="15" fillId="0" borderId="20" xfId="2" applyNumberFormat="1" applyFont="1" applyBorder="1"/>
    <xf numFmtId="187" fontId="19" fillId="0" borderId="25" xfId="2" applyFont="1" applyBorder="1"/>
    <xf numFmtId="43" fontId="19" fillId="0" borderId="15" xfId="1" applyFont="1" applyBorder="1"/>
    <xf numFmtId="43" fontId="14" fillId="0" borderId="15" xfId="1" applyFont="1" applyBorder="1"/>
    <xf numFmtId="189" fontId="21" fillId="0" borderId="10" xfId="2" applyNumberFormat="1" applyFont="1" applyBorder="1"/>
    <xf numFmtId="187" fontId="6" fillId="0" borderId="10" xfId="2" applyFont="1" applyBorder="1" applyAlignment="1">
      <alignment horizontal="center"/>
    </xf>
    <xf numFmtId="189" fontId="20" fillId="0" borderId="20" xfId="2" applyNumberFormat="1" applyFont="1" applyBorder="1"/>
    <xf numFmtId="0" fontId="17" fillId="0" borderId="0" xfId="3" applyFont="1" applyAlignment="1"/>
    <xf numFmtId="15" fontId="15" fillId="0" borderId="16" xfId="3" applyNumberFormat="1" applyFont="1" applyBorder="1" applyAlignment="1">
      <alignment horizontal="center"/>
    </xf>
    <xf numFmtId="0" fontId="25" fillId="0" borderId="9" xfId="3" applyFont="1" applyBorder="1" applyAlignment="1">
      <alignment horizontal="right"/>
    </xf>
    <xf numFmtId="189" fontId="42" fillId="0" borderId="6" xfId="2" applyNumberFormat="1" applyFont="1" applyBorder="1"/>
    <xf numFmtId="0" fontId="13" fillId="0" borderId="0" xfId="0" applyFont="1" applyAlignment="1">
      <alignment horizontal="center"/>
    </xf>
    <xf numFmtId="0" fontId="31" fillId="0" borderId="9" xfId="0" applyFont="1" applyBorder="1"/>
    <xf numFmtId="187" fontId="22" fillId="4" borderId="10" xfId="2" applyFont="1" applyFill="1" applyBorder="1"/>
    <xf numFmtId="187" fontId="27" fillId="4" borderId="10" xfId="2" applyFont="1" applyFill="1" applyBorder="1"/>
    <xf numFmtId="43" fontId="22" fillId="4" borderId="6" xfId="1" applyFont="1" applyFill="1" applyBorder="1"/>
    <xf numFmtId="43" fontId="15" fillId="4" borderId="6" xfId="1" applyFont="1" applyFill="1" applyBorder="1"/>
    <xf numFmtId="43" fontId="11" fillId="4" borderId="6" xfId="1" applyFont="1" applyFill="1" applyBorder="1"/>
    <xf numFmtId="43" fontId="24" fillId="0" borderId="20" xfId="1" applyFont="1" applyBorder="1"/>
    <xf numFmtId="43" fontId="11" fillId="0" borderId="10" xfId="1" applyFont="1" applyBorder="1"/>
    <xf numFmtId="187" fontId="6" fillId="0" borderId="6" xfId="2" applyNumberFormat="1" applyFont="1" applyBorder="1"/>
    <xf numFmtId="189" fontId="11" fillId="4" borderId="6" xfId="2" applyNumberFormat="1" applyFont="1" applyFill="1" applyBorder="1"/>
    <xf numFmtId="189" fontId="22" fillId="4" borderId="6" xfId="2" applyNumberFormat="1" applyFont="1" applyFill="1" applyBorder="1"/>
    <xf numFmtId="43" fontId="15" fillId="0" borderId="2" xfId="1" applyFont="1" applyBorder="1"/>
    <xf numFmtId="187" fontId="10" fillId="0" borderId="6" xfId="2" applyFont="1" applyBorder="1"/>
    <xf numFmtId="189" fontId="14" fillId="0" borderId="20" xfId="2" applyNumberFormat="1" applyFont="1" applyBorder="1"/>
    <xf numFmtId="43" fontId="14" fillId="0" borderId="0" xfId="1" applyFont="1" applyAlignment="1"/>
    <xf numFmtId="43" fontId="16" fillId="0" borderId="3" xfId="1" applyFont="1" applyBorder="1" applyAlignment="1">
      <alignment horizontal="center"/>
    </xf>
    <xf numFmtId="43" fontId="16" fillId="0" borderId="4" xfId="1" applyFont="1" applyBorder="1" applyAlignment="1">
      <alignment horizontal="center"/>
    </xf>
    <xf numFmtId="43" fontId="15" fillId="0" borderId="20" xfId="1" applyFont="1" applyBorder="1"/>
    <xf numFmtId="43" fontId="16" fillId="0" borderId="20" xfId="1" applyFont="1" applyBorder="1"/>
    <xf numFmtId="0" fontId="10" fillId="0" borderId="0" xfId="0" applyFont="1" applyBorder="1"/>
    <xf numFmtId="0" fontId="9" fillId="0" borderId="0" xfId="0" applyFont="1" applyAlignment="1">
      <alignment horizontal="center"/>
    </xf>
    <xf numFmtId="0" fontId="14" fillId="0" borderId="0" xfId="3" applyFont="1" applyAlignment="1">
      <alignment horizontal="center"/>
    </xf>
    <xf numFmtId="0" fontId="14" fillId="0" borderId="0" xfId="3" applyFont="1" applyAlignment="1">
      <alignment horizontal="left"/>
    </xf>
    <xf numFmtId="0" fontId="19" fillId="0" borderId="0" xfId="3" applyFont="1" applyAlignment="1">
      <alignment horizontal="center"/>
    </xf>
  </cellXfs>
  <cellStyles count="4">
    <cellStyle name="Comma" xfId="1" builtinId="3"/>
    <cellStyle name="Normal" xfId="0" builtinId="0"/>
    <cellStyle name="เครื่องหมายจุลภาค_Sheet1" xfId="2"/>
    <cellStyle name="ปกติ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9"/>
  <sheetViews>
    <sheetView workbookViewId="0">
      <selection activeCell="L11" sqref="L11"/>
    </sheetView>
  </sheetViews>
  <sheetFormatPr defaultRowHeight="12.75" x14ac:dyDescent="0.2"/>
  <cols>
    <col min="1" max="1" width="4" customWidth="1"/>
    <col min="2" max="2" width="25.85546875" customWidth="1"/>
    <col min="3" max="3" width="14.42578125" customWidth="1"/>
    <col min="4" max="4" width="13.140625" customWidth="1"/>
    <col min="5" max="5" width="11.7109375" customWidth="1"/>
    <col min="6" max="6" width="13.140625" customWidth="1"/>
    <col min="7" max="7" width="12.5703125" customWidth="1"/>
    <col min="8" max="8" width="11.42578125" customWidth="1"/>
  </cols>
  <sheetData>
    <row r="3" spans="1:8" ht="21" x14ac:dyDescent="0.35">
      <c r="A3" s="450" t="s">
        <v>958</v>
      </c>
      <c r="B3" s="450"/>
      <c r="C3" s="450"/>
      <c r="D3" s="450"/>
      <c r="E3" s="450"/>
      <c r="F3" s="450"/>
      <c r="G3" s="450"/>
    </row>
    <row r="4" spans="1:8" ht="21" x14ac:dyDescent="0.35">
      <c r="A4" s="450" t="s">
        <v>13</v>
      </c>
      <c r="B4" s="450"/>
      <c r="C4" s="450"/>
      <c r="D4" s="450"/>
      <c r="E4" s="450"/>
      <c r="F4" s="450"/>
      <c r="G4" s="450"/>
    </row>
    <row r="5" spans="1:8" ht="21" x14ac:dyDescent="0.35">
      <c r="A5" s="450" t="s">
        <v>2922</v>
      </c>
      <c r="B5" s="450"/>
      <c r="C5" s="450"/>
      <c r="D5" s="450"/>
      <c r="E5" s="450"/>
      <c r="F5" s="450"/>
      <c r="G5" s="450"/>
    </row>
    <row r="6" spans="1:8" ht="21" x14ac:dyDescent="0.35">
      <c r="A6" s="13" t="s">
        <v>7</v>
      </c>
      <c r="B6" s="13"/>
      <c r="C6" s="13"/>
      <c r="D6" s="13"/>
      <c r="E6" s="13"/>
      <c r="F6" s="13"/>
      <c r="G6" s="13"/>
    </row>
    <row r="7" spans="1:8" ht="21" x14ac:dyDescent="0.35">
      <c r="A7" s="14" t="s">
        <v>8</v>
      </c>
      <c r="B7" s="15" t="s">
        <v>4</v>
      </c>
      <c r="C7" s="14" t="s">
        <v>9</v>
      </c>
      <c r="D7" s="15" t="s">
        <v>1</v>
      </c>
      <c r="E7" s="14" t="s">
        <v>26</v>
      </c>
      <c r="F7" s="14" t="s">
        <v>2</v>
      </c>
      <c r="G7" s="14" t="s">
        <v>10</v>
      </c>
      <c r="H7" s="3" t="s">
        <v>3</v>
      </c>
    </row>
    <row r="8" spans="1:8" ht="21" x14ac:dyDescent="0.35">
      <c r="A8" s="16"/>
      <c r="B8" s="17"/>
      <c r="C8" s="16"/>
      <c r="D8" s="17"/>
      <c r="E8" s="16" t="s">
        <v>27</v>
      </c>
      <c r="F8" s="16"/>
      <c r="G8" s="16" t="s">
        <v>11</v>
      </c>
      <c r="H8" s="16"/>
    </row>
    <row r="9" spans="1:8" ht="18.75" x14ac:dyDescent="0.3">
      <c r="A9" s="5">
        <v>1</v>
      </c>
      <c r="B9" s="6" t="s">
        <v>122</v>
      </c>
      <c r="C9" s="207">
        <v>23561890</v>
      </c>
      <c r="D9" s="91">
        <v>22794964.359999999</v>
      </c>
      <c r="E9" s="141"/>
      <c r="F9" s="25">
        <f>C9-D9-E9</f>
        <v>766925.6400000006</v>
      </c>
      <c r="G9" s="26">
        <f>D9*100/C9</f>
        <v>96.745058906564793</v>
      </c>
      <c r="H9" s="26"/>
    </row>
    <row r="10" spans="1:8" ht="18.75" x14ac:dyDescent="0.3">
      <c r="A10" s="27">
        <v>2</v>
      </c>
      <c r="B10" s="6" t="s">
        <v>5</v>
      </c>
      <c r="C10" s="42">
        <v>78124071</v>
      </c>
      <c r="D10" s="8">
        <v>73346255.790000007</v>
      </c>
      <c r="E10" s="38">
        <v>1219396.8799999999</v>
      </c>
      <c r="F10" s="25">
        <f>C10-D10-E10</f>
        <v>3558418.3299999936</v>
      </c>
      <c r="G10" s="26">
        <f>D10*100/C10</f>
        <v>93.884323808471279</v>
      </c>
      <c r="H10" s="26"/>
    </row>
    <row r="11" spans="1:8" ht="18.75" x14ac:dyDescent="0.3">
      <c r="A11" s="5">
        <v>3</v>
      </c>
      <c r="B11" s="51" t="s">
        <v>968</v>
      </c>
      <c r="C11" s="42">
        <v>56091020</v>
      </c>
      <c r="D11" s="58">
        <v>26300206.620000001</v>
      </c>
      <c r="E11" s="149">
        <v>29520457.199999999</v>
      </c>
      <c r="F11" s="25">
        <f>C11-D11-E11</f>
        <v>270356.1799999997</v>
      </c>
      <c r="G11" s="26">
        <f>D11*100/C11</f>
        <v>46.888444210855859</v>
      </c>
      <c r="H11" s="7"/>
    </row>
    <row r="12" spans="1:8" ht="18.75" x14ac:dyDescent="0.3">
      <c r="A12" s="27">
        <v>4</v>
      </c>
      <c r="B12" s="51" t="s">
        <v>285</v>
      </c>
      <c r="C12" s="7">
        <v>131689491</v>
      </c>
      <c r="D12" s="149">
        <f>C12-F12</f>
        <v>131550656</v>
      </c>
      <c r="E12" s="54"/>
      <c r="F12" s="25">
        <v>138835</v>
      </c>
      <c r="G12" s="26">
        <f>D12*100/C12</f>
        <v>99.894573971737799</v>
      </c>
      <c r="H12" s="7"/>
    </row>
    <row r="13" spans="1:8" ht="18.75" x14ac:dyDescent="0.3">
      <c r="A13" s="27"/>
      <c r="B13" s="51"/>
      <c r="C13" s="7"/>
      <c r="D13" s="53"/>
      <c r="E13" s="54"/>
      <c r="F13" s="25"/>
      <c r="G13" s="198"/>
      <c r="H13" s="7"/>
    </row>
    <row r="14" spans="1:8" ht="18.75" x14ac:dyDescent="0.3">
      <c r="A14" s="5"/>
      <c r="B14" s="51"/>
      <c r="C14" s="7"/>
      <c r="D14" s="53"/>
      <c r="E14" s="42"/>
      <c r="F14" s="25"/>
      <c r="G14" s="26"/>
      <c r="H14" s="7"/>
    </row>
    <row r="15" spans="1:8" ht="18.75" x14ac:dyDescent="0.3">
      <c r="A15" s="5"/>
      <c r="B15" s="6"/>
      <c r="C15" s="7"/>
      <c r="D15" s="53"/>
      <c r="E15" s="7"/>
      <c r="F15" s="55"/>
      <c r="G15" s="26"/>
      <c r="H15" s="26"/>
    </row>
    <row r="16" spans="1:8" ht="18.75" x14ac:dyDescent="0.3">
      <c r="A16" s="27"/>
      <c r="B16" s="6"/>
      <c r="C16" s="7"/>
      <c r="D16" s="9"/>
      <c r="E16" s="7"/>
      <c r="F16" s="25"/>
      <c r="G16" s="26"/>
      <c r="H16" s="26"/>
    </row>
    <row r="17" spans="1:8" ht="18.75" x14ac:dyDescent="0.3">
      <c r="A17" s="5"/>
      <c r="B17" s="6"/>
      <c r="C17" s="28"/>
      <c r="D17" s="29"/>
      <c r="E17" s="28"/>
      <c r="F17" s="25"/>
      <c r="G17" s="26"/>
      <c r="H17" s="26"/>
    </row>
    <row r="18" spans="1:8" ht="18.75" x14ac:dyDescent="0.3">
      <c r="A18" s="30"/>
      <c r="B18" s="31"/>
      <c r="C18" s="28"/>
      <c r="D18" s="29"/>
      <c r="E18" s="28"/>
      <c r="F18" s="25"/>
      <c r="G18" s="26"/>
      <c r="H18" s="26"/>
    </row>
    <row r="19" spans="1:8" ht="18.75" x14ac:dyDescent="0.3">
      <c r="A19" s="30"/>
      <c r="B19" s="31"/>
      <c r="C19" s="28"/>
      <c r="D19" s="29"/>
      <c r="E19" s="28"/>
      <c r="F19" s="32"/>
      <c r="G19" s="26"/>
      <c r="H19" s="26"/>
    </row>
    <row r="20" spans="1:8" ht="18.75" x14ac:dyDescent="0.3">
      <c r="A20" s="5"/>
      <c r="B20" s="6"/>
      <c r="C20" s="7"/>
      <c r="D20" s="9"/>
      <c r="E20" s="7"/>
      <c r="F20" s="25"/>
      <c r="G20" s="26"/>
      <c r="H20" s="26"/>
    </row>
    <row r="21" spans="1:8" ht="18.75" x14ac:dyDescent="0.3">
      <c r="A21" s="5"/>
      <c r="B21" s="6"/>
      <c r="C21" s="7"/>
      <c r="D21" s="9"/>
      <c r="E21" s="7"/>
      <c r="F21" s="25"/>
      <c r="G21" s="26"/>
      <c r="H21" s="26"/>
    </row>
    <row r="22" spans="1:8" ht="18.75" x14ac:dyDescent="0.3">
      <c r="A22" s="30"/>
      <c r="B22" s="31"/>
      <c r="C22" s="28"/>
      <c r="D22" s="29"/>
      <c r="E22" s="28"/>
      <c r="F22" s="28"/>
      <c r="G22" s="28"/>
      <c r="H22" s="28"/>
    </row>
    <row r="23" spans="1:8" ht="18.75" x14ac:dyDescent="0.3">
      <c r="A23" s="2"/>
      <c r="B23" s="24" t="s">
        <v>6</v>
      </c>
      <c r="C23" s="33">
        <f>SUM(C9:C22)</f>
        <v>289466472</v>
      </c>
      <c r="D23" s="191">
        <f>SUM(D9:D22)</f>
        <v>253992082.77000001</v>
      </c>
      <c r="E23" s="186">
        <f>SUM(E9:E22)</f>
        <v>30739854.079999998</v>
      </c>
      <c r="F23" s="33">
        <f>SUM(F9:F22)</f>
        <v>4734535.1499999939</v>
      </c>
      <c r="G23" s="34">
        <f>D23*100/C23</f>
        <v>87.744905658711318</v>
      </c>
      <c r="H23" s="34"/>
    </row>
    <row r="24" spans="1:8" ht="18.75" x14ac:dyDescent="0.3">
      <c r="A24" s="4"/>
      <c r="B24" s="52"/>
      <c r="C24" s="59"/>
      <c r="D24" s="59"/>
      <c r="E24" s="60"/>
      <c r="F24" s="59"/>
      <c r="G24" s="61"/>
      <c r="H24" s="61"/>
    </row>
    <row r="25" spans="1:8" ht="21" x14ac:dyDescent="0.35">
      <c r="A25" s="4"/>
      <c r="B25" s="19" t="s">
        <v>21</v>
      </c>
      <c r="C25" s="59"/>
      <c r="D25" s="59"/>
      <c r="E25" s="60"/>
      <c r="F25" s="59"/>
      <c r="G25" s="61"/>
      <c r="H25" s="61"/>
    </row>
    <row r="26" spans="1:8" ht="23.25" x14ac:dyDescent="0.5">
      <c r="A26" s="18"/>
      <c r="B26" s="20" t="s">
        <v>728</v>
      </c>
      <c r="C26" s="20"/>
      <c r="D26" s="20" t="s">
        <v>716</v>
      </c>
      <c r="E26" s="19"/>
      <c r="F26" s="20" t="s">
        <v>22</v>
      </c>
      <c r="G26" s="19"/>
      <c r="H26" s="12"/>
    </row>
    <row r="27" spans="1:8" ht="23.25" x14ac:dyDescent="0.5">
      <c r="A27" s="18"/>
      <c r="B27" s="19" t="s">
        <v>724</v>
      </c>
      <c r="C27" s="19"/>
      <c r="D27" s="19" t="s">
        <v>717</v>
      </c>
      <c r="E27" s="19"/>
      <c r="F27" s="19" t="s">
        <v>721</v>
      </c>
      <c r="G27" s="19"/>
      <c r="H27" s="182"/>
    </row>
    <row r="28" spans="1:8" ht="23.25" x14ac:dyDescent="0.5">
      <c r="A28" s="18"/>
      <c r="B28" s="19" t="s">
        <v>725</v>
      </c>
      <c r="C28" s="19"/>
      <c r="D28" s="19" t="s">
        <v>718</v>
      </c>
      <c r="E28" s="19"/>
      <c r="F28" s="19" t="s">
        <v>722</v>
      </c>
      <c r="G28" s="19"/>
      <c r="H28" s="11"/>
    </row>
    <row r="29" spans="1:8" ht="23.25" x14ac:dyDescent="0.5">
      <c r="A29" s="18"/>
      <c r="B29" s="19" t="s">
        <v>726</v>
      </c>
      <c r="C29" s="19"/>
      <c r="D29" s="19" t="s">
        <v>719</v>
      </c>
      <c r="E29" s="19"/>
      <c r="F29" s="19" t="s">
        <v>723</v>
      </c>
      <c r="G29" s="19"/>
      <c r="H29" s="182"/>
    </row>
    <row r="30" spans="1:8" ht="23.25" x14ac:dyDescent="0.5">
      <c r="A30" s="18"/>
      <c r="B30" s="19" t="s">
        <v>727</v>
      </c>
      <c r="C30" s="19"/>
      <c r="D30" s="19" t="s">
        <v>720</v>
      </c>
      <c r="E30" s="19"/>
      <c r="F30" s="19" t="s">
        <v>720</v>
      </c>
      <c r="G30" s="19"/>
      <c r="H30" s="11"/>
    </row>
    <row r="31" spans="1:8" ht="23.25" x14ac:dyDescent="0.5">
      <c r="B31" s="11"/>
      <c r="C31" s="11"/>
      <c r="D31" s="11"/>
      <c r="E31" s="11"/>
      <c r="F31" s="11"/>
      <c r="G31" s="11"/>
      <c r="H31" s="11"/>
    </row>
    <row r="32" spans="1:8" ht="23.25" x14ac:dyDescent="0.5">
      <c r="B32" s="10"/>
      <c r="C32" s="21"/>
      <c r="D32" s="10"/>
      <c r="E32" s="10"/>
    </row>
    <row r="33" spans="2:5" ht="23.25" x14ac:dyDescent="0.5">
      <c r="B33" s="10"/>
      <c r="C33" s="10"/>
      <c r="D33" s="10"/>
      <c r="E33" s="10"/>
    </row>
    <row r="34" spans="2:5" ht="23.25" x14ac:dyDescent="0.5">
      <c r="B34" s="10"/>
      <c r="C34" s="10"/>
      <c r="D34" s="10"/>
      <c r="E34" s="10"/>
    </row>
    <row r="35" spans="2:5" ht="23.25" x14ac:dyDescent="0.5">
      <c r="B35" s="10"/>
      <c r="C35" s="10"/>
      <c r="D35" s="10"/>
      <c r="E35" s="10"/>
    </row>
    <row r="36" spans="2:5" ht="23.25" x14ac:dyDescent="0.5">
      <c r="B36" s="10"/>
      <c r="C36" s="21"/>
      <c r="D36" s="10"/>
      <c r="E36" s="10"/>
    </row>
    <row r="37" spans="2:5" ht="23.25" x14ac:dyDescent="0.5">
      <c r="B37" s="10"/>
      <c r="C37" s="21"/>
      <c r="D37" s="10"/>
      <c r="E37" s="10"/>
    </row>
    <row r="38" spans="2:5" ht="23.25" x14ac:dyDescent="0.5">
      <c r="B38" s="10"/>
      <c r="C38" s="21"/>
      <c r="D38" s="10"/>
      <c r="E38" s="10"/>
    </row>
    <row r="39" spans="2:5" ht="23.25" x14ac:dyDescent="0.5">
      <c r="B39" s="10"/>
      <c r="C39" s="10"/>
      <c r="D39" s="10"/>
      <c r="E39" s="10"/>
    </row>
  </sheetData>
  <mergeCells count="3">
    <mergeCell ref="A4:G4"/>
    <mergeCell ref="A5:G5"/>
    <mergeCell ref="A3:G3"/>
  </mergeCells>
  <phoneticPr fontId="5" type="noConversion"/>
  <pageMargins left="0.42" right="0.28999999999999998" top="0.44" bottom="1" header="0.27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I16" sqref="I16"/>
    </sheetView>
  </sheetViews>
  <sheetFormatPr defaultRowHeight="18.75" x14ac:dyDescent="0.3"/>
  <cols>
    <col min="1" max="1" width="0.42578125" style="23" customWidth="1"/>
    <col min="2" max="2" width="9.42578125" style="18" customWidth="1"/>
    <col min="3" max="3" width="34.42578125" style="1" customWidth="1"/>
    <col min="4" max="4" width="12.140625" style="18" customWidth="1"/>
    <col min="5" max="5" width="11.140625" style="18" customWidth="1"/>
    <col min="6" max="6" width="9.85546875" style="18" customWidth="1"/>
    <col min="7" max="7" width="11.28515625" style="18" customWidth="1"/>
    <col min="8" max="8" width="9.140625" style="23" customWidth="1"/>
    <col min="9" max="16384" width="9.140625" style="18"/>
  </cols>
  <sheetData>
    <row r="1" spans="1:9" x14ac:dyDescent="0.3">
      <c r="A1" s="451" t="s">
        <v>1922</v>
      </c>
      <c r="B1" s="451"/>
      <c r="C1" s="451"/>
      <c r="D1" s="451"/>
      <c r="E1" s="451"/>
      <c r="F1" s="451"/>
      <c r="G1" s="451"/>
      <c r="H1" s="101" t="s">
        <v>163</v>
      </c>
    </row>
    <row r="2" spans="1:9" x14ac:dyDescent="0.3">
      <c r="A2" s="451" t="s">
        <v>2839</v>
      </c>
      <c r="B2" s="451"/>
      <c r="C2" s="451"/>
      <c r="D2" s="451"/>
      <c r="E2" s="451"/>
      <c r="F2" s="451"/>
      <c r="G2" s="451"/>
      <c r="H2" s="77"/>
      <c r="I2" s="79"/>
    </row>
    <row r="3" spans="1:9" x14ac:dyDescent="0.3">
      <c r="A3" s="101" t="s">
        <v>14</v>
      </c>
      <c r="B3" s="63"/>
      <c r="C3" s="63"/>
      <c r="D3" s="63"/>
      <c r="E3" s="63"/>
      <c r="F3" s="63"/>
      <c r="G3" s="77" t="s">
        <v>161</v>
      </c>
      <c r="H3" s="77" t="s">
        <v>164</v>
      </c>
      <c r="I3" s="77"/>
    </row>
    <row r="4" spans="1:9" x14ac:dyDescent="0.3">
      <c r="A4" s="102"/>
      <c r="B4" s="80" t="s">
        <v>39</v>
      </c>
      <c r="C4" s="65" t="s">
        <v>4</v>
      </c>
      <c r="D4" s="260" t="s">
        <v>25</v>
      </c>
      <c r="E4" s="103" t="s">
        <v>1</v>
      </c>
      <c r="F4" s="103" t="s">
        <v>123</v>
      </c>
      <c r="G4" s="66" t="s">
        <v>2</v>
      </c>
      <c r="H4" s="104" t="s">
        <v>3</v>
      </c>
    </row>
    <row r="5" spans="1:9" x14ac:dyDescent="0.3">
      <c r="A5" s="105"/>
      <c r="B5" s="67"/>
      <c r="C5" s="68"/>
      <c r="D5" s="261"/>
      <c r="E5" s="106"/>
      <c r="F5" s="106" t="s">
        <v>33</v>
      </c>
      <c r="G5" s="69"/>
      <c r="H5" s="107" t="s">
        <v>17</v>
      </c>
    </row>
    <row r="6" spans="1:9" s="1" customFormat="1" x14ac:dyDescent="0.3">
      <c r="A6" s="108"/>
      <c r="B6" s="70" t="s">
        <v>2109</v>
      </c>
      <c r="C6" s="218" t="s">
        <v>2161</v>
      </c>
      <c r="D6" s="42"/>
      <c r="E6" s="110"/>
      <c r="F6" s="110"/>
      <c r="G6" s="110"/>
      <c r="H6" s="75"/>
      <c r="I6" s="18"/>
    </row>
    <row r="7" spans="1:9" s="1" customFormat="1" x14ac:dyDescent="0.3">
      <c r="A7" s="108"/>
      <c r="B7" s="70" t="s">
        <v>2530</v>
      </c>
      <c r="C7" s="218" t="s">
        <v>2162</v>
      </c>
      <c r="D7" s="42">
        <v>5000</v>
      </c>
      <c r="E7" s="42">
        <v>5000</v>
      </c>
      <c r="F7" s="110"/>
      <c r="G7" s="110">
        <f>D7-E7-F7</f>
        <v>0</v>
      </c>
      <c r="H7" s="75"/>
      <c r="I7" s="18"/>
    </row>
    <row r="8" spans="1:9" s="1" customFormat="1" x14ac:dyDescent="0.3">
      <c r="A8" s="108"/>
      <c r="B8" s="70" t="s">
        <v>2320</v>
      </c>
      <c r="C8" s="310" t="s">
        <v>2163</v>
      </c>
      <c r="D8" s="42">
        <v>5000</v>
      </c>
      <c r="E8" s="110">
        <v>5000</v>
      </c>
      <c r="F8" s="73"/>
      <c r="G8" s="110">
        <f t="shared" ref="G8:G28" si="0">D8-E8-F8</f>
        <v>0</v>
      </c>
      <c r="H8" s="75"/>
      <c r="I8" s="18"/>
    </row>
    <row r="9" spans="1:9" s="1" customFormat="1" x14ac:dyDescent="0.3">
      <c r="A9" s="108"/>
      <c r="B9" s="70" t="s">
        <v>2798</v>
      </c>
      <c r="C9" s="218" t="s">
        <v>2164</v>
      </c>
      <c r="D9" s="42">
        <v>5000</v>
      </c>
      <c r="E9" s="110">
        <v>5000</v>
      </c>
      <c r="F9" s="73"/>
      <c r="G9" s="110">
        <f t="shared" si="0"/>
        <v>0</v>
      </c>
      <c r="H9" s="111"/>
      <c r="I9" s="18"/>
    </row>
    <row r="10" spans="1:9" s="1" customFormat="1" x14ac:dyDescent="0.3">
      <c r="A10" s="108"/>
      <c r="B10" s="70" t="s">
        <v>2539</v>
      </c>
      <c r="C10" s="373" t="s">
        <v>2165</v>
      </c>
      <c r="D10" s="42">
        <v>5000</v>
      </c>
      <c r="E10" s="42">
        <v>5000</v>
      </c>
      <c r="F10" s="110"/>
      <c r="G10" s="110">
        <f t="shared" si="0"/>
        <v>0</v>
      </c>
      <c r="H10" s="75"/>
      <c r="I10" s="18"/>
    </row>
    <row r="11" spans="1:9" s="1" customFormat="1" x14ac:dyDescent="0.3">
      <c r="A11" s="108"/>
      <c r="B11" s="70" t="s">
        <v>2871</v>
      </c>
      <c r="C11" s="373" t="s">
        <v>2166</v>
      </c>
      <c r="D11" s="42">
        <v>5000</v>
      </c>
      <c r="E11" s="42">
        <v>5000</v>
      </c>
      <c r="F11" s="110"/>
      <c r="G11" s="110">
        <f t="shared" si="0"/>
        <v>0</v>
      </c>
      <c r="H11" s="75"/>
      <c r="I11" s="18"/>
    </row>
    <row r="12" spans="1:9" s="1" customFormat="1" x14ac:dyDescent="0.3">
      <c r="A12" s="108"/>
      <c r="B12" s="70" t="s">
        <v>2763</v>
      </c>
      <c r="C12" s="373" t="s">
        <v>2167</v>
      </c>
      <c r="D12" s="42">
        <v>5000</v>
      </c>
      <c r="E12" s="42">
        <v>5000</v>
      </c>
      <c r="F12" s="73"/>
      <c r="G12" s="110">
        <f t="shared" si="0"/>
        <v>0</v>
      </c>
      <c r="H12" s="75"/>
      <c r="I12" s="18"/>
    </row>
    <row r="13" spans="1:9" x14ac:dyDescent="0.3">
      <c r="A13" s="89"/>
      <c r="B13" s="70" t="s">
        <v>2872</v>
      </c>
      <c r="C13" s="218" t="s">
        <v>2168</v>
      </c>
      <c r="D13" s="42">
        <v>5000</v>
      </c>
      <c r="E13" s="42">
        <v>5000</v>
      </c>
      <c r="F13" s="110"/>
      <c r="G13" s="110">
        <f t="shared" si="0"/>
        <v>0</v>
      </c>
      <c r="H13" s="75"/>
    </row>
    <row r="14" spans="1:9" x14ac:dyDescent="0.3">
      <c r="A14" s="89"/>
      <c r="B14" s="70" t="s">
        <v>2377</v>
      </c>
      <c r="C14" s="218" t="s">
        <v>2169</v>
      </c>
      <c r="D14" s="42">
        <v>5000</v>
      </c>
      <c r="E14" s="42">
        <v>5000</v>
      </c>
      <c r="F14" s="110"/>
      <c r="G14" s="110">
        <f t="shared" si="0"/>
        <v>0</v>
      </c>
      <c r="H14" s="75"/>
    </row>
    <row r="15" spans="1:9" x14ac:dyDescent="0.3">
      <c r="A15" s="89"/>
      <c r="B15" s="70" t="s">
        <v>2417</v>
      </c>
      <c r="C15" s="218" t="s">
        <v>2170</v>
      </c>
      <c r="D15" s="42">
        <v>5000</v>
      </c>
      <c r="E15" s="42">
        <v>5000</v>
      </c>
      <c r="F15" s="42"/>
      <c r="G15" s="110">
        <f t="shared" si="0"/>
        <v>0</v>
      </c>
      <c r="H15" s="75"/>
    </row>
    <row r="16" spans="1:9" x14ac:dyDescent="0.3">
      <c r="A16" s="89"/>
      <c r="B16" s="70" t="s">
        <v>2530</v>
      </c>
      <c r="C16" s="218" t="s">
        <v>2171</v>
      </c>
      <c r="D16" s="42">
        <v>5000</v>
      </c>
      <c r="E16" s="42">
        <v>5000</v>
      </c>
      <c r="F16" s="110"/>
      <c r="G16" s="110">
        <f t="shared" si="0"/>
        <v>0</v>
      </c>
      <c r="H16" s="75"/>
    </row>
    <row r="17" spans="1:8" x14ac:dyDescent="0.3">
      <c r="A17" s="89"/>
      <c r="B17" s="70" t="s">
        <v>2712</v>
      </c>
      <c r="C17" s="218" t="s">
        <v>2172</v>
      </c>
      <c r="D17" s="42">
        <v>5000</v>
      </c>
      <c r="E17" s="42">
        <v>5000</v>
      </c>
      <c r="F17" s="110"/>
      <c r="G17" s="110">
        <f t="shared" si="0"/>
        <v>0</v>
      </c>
      <c r="H17" s="75"/>
    </row>
    <row r="18" spans="1:8" x14ac:dyDescent="0.3">
      <c r="A18" s="89"/>
      <c r="B18" s="70" t="s">
        <v>2377</v>
      </c>
      <c r="C18" s="218" t="s">
        <v>2173</v>
      </c>
      <c r="D18" s="42">
        <v>5000</v>
      </c>
      <c r="E18" s="42">
        <v>5000</v>
      </c>
      <c r="F18" s="110"/>
      <c r="G18" s="110">
        <f t="shared" si="0"/>
        <v>0</v>
      </c>
      <c r="H18" s="75"/>
    </row>
    <row r="19" spans="1:8" x14ac:dyDescent="0.3">
      <c r="A19" s="89"/>
      <c r="B19" s="70" t="s">
        <v>2320</v>
      </c>
      <c r="C19" s="218" t="s">
        <v>2174</v>
      </c>
      <c r="D19" s="42">
        <v>5000</v>
      </c>
      <c r="E19" s="110">
        <v>5000</v>
      </c>
      <c r="F19" s="110"/>
      <c r="G19" s="110">
        <f t="shared" si="0"/>
        <v>0</v>
      </c>
      <c r="H19" s="75"/>
    </row>
    <row r="20" spans="1:8" x14ac:dyDescent="0.3">
      <c r="A20" s="89"/>
      <c r="B20" s="70" t="s">
        <v>2417</v>
      </c>
      <c r="C20" s="218" t="s">
        <v>2175</v>
      </c>
      <c r="D20" s="42">
        <v>5000</v>
      </c>
      <c r="E20" s="42">
        <v>5000</v>
      </c>
      <c r="F20" s="110"/>
      <c r="G20" s="110">
        <f t="shared" si="0"/>
        <v>0</v>
      </c>
      <c r="H20" s="75"/>
    </row>
    <row r="21" spans="1:8" x14ac:dyDescent="0.3">
      <c r="A21" s="89"/>
      <c r="B21" s="70" t="s">
        <v>2417</v>
      </c>
      <c r="C21" s="218" t="s">
        <v>2176</v>
      </c>
      <c r="D21" s="42">
        <v>5000</v>
      </c>
      <c r="E21" s="42">
        <v>5000</v>
      </c>
      <c r="F21" s="110"/>
      <c r="G21" s="110">
        <f t="shared" si="0"/>
        <v>0</v>
      </c>
      <c r="H21" s="75"/>
    </row>
    <row r="22" spans="1:8" x14ac:dyDescent="0.3">
      <c r="A22" s="89"/>
      <c r="B22" s="70" t="s">
        <v>2530</v>
      </c>
      <c r="C22" s="218" t="s">
        <v>2177</v>
      </c>
      <c r="D22" s="42">
        <v>5000</v>
      </c>
      <c r="E22" s="42">
        <v>5000</v>
      </c>
      <c r="F22" s="110"/>
      <c r="G22" s="110">
        <f t="shared" si="0"/>
        <v>0</v>
      </c>
      <c r="H22" s="75"/>
    </row>
    <row r="23" spans="1:8" x14ac:dyDescent="0.3">
      <c r="A23" s="89"/>
      <c r="B23" s="70" t="s">
        <v>2892</v>
      </c>
      <c r="C23" s="218" t="s">
        <v>2178</v>
      </c>
      <c r="D23" s="42">
        <v>5000</v>
      </c>
      <c r="E23" s="42">
        <v>5000</v>
      </c>
      <c r="F23" s="110"/>
      <c r="G23" s="110">
        <f t="shared" si="0"/>
        <v>0</v>
      </c>
      <c r="H23" s="75"/>
    </row>
    <row r="24" spans="1:8" x14ac:dyDescent="0.3">
      <c r="A24" s="89"/>
      <c r="B24" s="70" t="s">
        <v>2417</v>
      </c>
      <c r="C24" s="218" t="s">
        <v>2179</v>
      </c>
      <c r="D24" s="42">
        <v>5000</v>
      </c>
      <c r="E24" s="42">
        <v>5000</v>
      </c>
      <c r="F24" s="42"/>
      <c r="G24" s="110">
        <f t="shared" si="0"/>
        <v>0</v>
      </c>
      <c r="H24" s="75"/>
    </row>
    <row r="25" spans="1:8" x14ac:dyDescent="0.3">
      <c r="A25" s="89"/>
      <c r="B25" s="70" t="s">
        <v>2377</v>
      </c>
      <c r="C25" s="218" t="s">
        <v>2180</v>
      </c>
      <c r="D25" s="42">
        <v>5000</v>
      </c>
      <c r="E25" s="42">
        <v>5000</v>
      </c>
      <c r="F25" s="110"/>
      <c r="G25" s="110">
        <f t="shared" si="0"/>
        <v>0</v>
      </c>
      <c r="H25" s="75"/>
    </row>
    <row r="26" spans="1:8" x14ac:dyDescent="0.3">
      <c r="A26" s="89"/>
      <c r="B26" s="70" t="s">
        <v>2762</v>
      </c>
      <c r="C26" s="376" t="s">
        <v>112</v>
      </c>
      <c r="D26" s="42">
        <v>5000</v>
      </c>
      <c r="E26" s="42">
        <v>5000</v>
      </c>
      <c r="F26" s="110"/>
      <c r="G26" s="110">
        <f t="shared" si="0"/>
        <v>0</v>
      </c>
      <c r="H26" s="75"/>
    </row>
    <row r="27" spans="1:8" x14ac:dyDescent="0.3">
      <c r="A27" s="89"/>
      <c r="B27" s="70">
        <v>21</v>
      </c>
      <c r="C27" s="376" t="s">
        <v>2181</v>
      </c>
      <c r="D27" s="42">
        <v>5000</v>
      </c>
      <c r="E27" s="110"/>
      <c r="F27" s="110"/>
      <c r="G27" s="110"/>
      <c r="H27" s="75" t="s">
        <v>2891</v>
      </c>
    </row>
    <row r="28" spans="1:8" x14ac:dyDescent="0.3">
      <c r="A28" s="89"/>
      <c r="B28" s="70" t="s">
        <v>2377</v>
      </c>
      <c r="C28" s="376" t="s">
        <v>2182</v>
      </c>
      <c r="D28" s="42">
        <v>5000</v>
      </c>
      <c r="E28" s="42">
        <v>5000</v>
      </c>
      <c r="F28" s="110"/>
      <c r="G28" s="110">
        <f t="shared" si="0"/>
        <v>0</v>
      </c>
      <c r="H28" s="75"/>
    </row>
    <row r="29" spans="1:8" x14ac:dyDescent="0.3">
      <c r="A29" s="89"/>
      <c r="B29" s="90"/>
      <c r="C29" s="218" t="s">
        <v>2924</v>
      </c>
      <c r="D29" s="42"/>
      <c r="E29" s="73">
        <v>5000</v>
      </c>
      <c r="F29" s="110"/>
      <c r="G29" s="110"/>
      <c r="H29" s="75"/>
    </row>
    <row r="30" spans="1:8" x14ac:dyDescent="0.3">
      <c r="A30" s="114"/>
      <c r="B30" s="115"/>
      <c r="C30" s="374"/>
      <c r="D30" s="289"/>
      <c r="E30" s="35"/>
      <c r="F30" s="35"/>
      <c r="G30" s="35"/>
      <c r="H30" s="117"/>
    </row>
    <row r="31" spans="1:8" ht="19.5" thickBot="1" x14ac:dyDescent="0.35">
      <c r="A31" s="118"/>
      <c r="B31" s="119"/>
      <c r="C31" s="375" t="s">
        <v>150</v>
      </c>
      <c r="D31" s="290">
        <f>SUM(D6:D30)</f>
        <v>110000</v>
      </c>
      <c r="E31" s="121">
        <f>SUM(E6:E30)</f>
        <v>110000</v>
      </c>
      <c r="F31" s="252">
        <f>SUM(F6:F30)</f>
        <v>0</v>
      </c>
      <c r="G31" s="210">
        <f>D31-E31-F31</f>
        <v>0</v>
      </c>
      <c r="H31" s="122"/>
    </row>
    <row r="32" spans="1:8" ht="19.5" thickTop="1" x14ac:dyDescent="0.3">
      <c r="D32" s="123"/>
      <c r="E32" s="123"/>
      <c r="F32" s="123"/>
      <c r="G32" s="123"/>
    </row>
    <row r="33" spans="2:7" x14ac:dyDescent="0.3">
      <c r="D33" s="230"/>
      <c r="E33" s="123"/>
      <c r="F33" s="123"/>
      <c r="G33" s="123"/>
    </row>
    <row r="34" spans="2:7" x14ac:dyDescent="0.3">
      <c r="D34" s="123"/>
      <c r="E34" s="123"/>
      <c r="F34" s="123"/>
      <c r="G34" s="123"/>
    </row>
    <row r="36" spans="2:7" x14ac:dyDescent="0.3">
      <c r="B36" s="124"/>
      <c r="C36" s="4"/>
      <c r="D36" s="57"/>
      <c r="E36" s="124"/>
      <c r="F36" s="124"/>
      <c r="G36" s="125"/>
    </row>
    <row r="37" spans="2:7" x14ac:dyDescent="0.3">
      <c r="B37" s="127"/>
      <c r="C37" s="4"/>
      <c r="D37" s="57"/>
      <c r="E37" s="124"/>
      <c r="F37" s="124"/>
      <c r="G37" s="125"/>
    </row>
    <row r="38" spans="2:7" x14ac:dyDescent="0.3">
      <c r="B38" s="124"/>
      <c r="C38" s="4"/>
      <c r="D38" s="128"/>
      <c r="E38" s="124"/>
      <c r="F38" s="124"/>
      <c r="G38" s="125"/>
    </row>
    <row r="39" spans="2:7" x14ac:dyDescent="0.3">
      <c r="B39" s="124"/>
      <c r="C39" s="4"/>
      <c r="D39" s="57"/>
      <c r="E39" s="124"/>
      <c r="F39" s="124"/>
      <c r="G39" s="125"/>
    </row>
    <row r="40" spans="2:7" x14ac:dyDescent="0.3">
      <c r="B40" s="124"/>
      <c r="C40" s="4"/>
      <c r="D40" s="129"/>
      <c r="E40" s="124"/>
      <c r="F40" s="124"/>
      <c r="G40" s="124"/>
    </row>
  </sheetData>
  <mergeCells count="2">
    <mergeCell ref="A1:G1"/>
    <mergeCell ref="A2:G2"/>
  </mergeCells>
  <pageMargins left="0.2" right="0.15" top="0.45" bottom="0.15748031496062992" header="0.39" footer="0.1574803149606299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I13" sqref="I1:P1048576"/>
    </sheetView>
  </sheetViews>
  <sheetFormatPr defaultRowHeight="15.75" x14ac:dyDescent="0.25"/>
  <cols>
    <col min="1" max="1" width="7.28515625" style="23" customWidth="1"/>
    <col min="2" max="2" width="8.7109375" style="18" customWidth="1"/>
    <col min="3" max="3" width="34.28515625" style="18" customWidth="1"/>
    <col min="4" max="4" width="11.28515625" style="18" customWidth="1"/>
    <col min="5" max="5" width="9.5703125" style="18" customWidth="1"/>
    <col min="6" max="6" width="8.28515625" style="18" customWidth="1"/>
    <col min="7" max="7" width="11.28515625" style="18" customWidth="1"/>
    <col min="8" max="8" width="9.140625" style="23" customWidth="1"/>
    <col min="9" max="16384" width="9.140625" style="18"/>
  </cols>
  <sheetData>
    <row r="1" spans="1:8" ht="18.75" x14ac:dyDescent="0.3">
      <c r="A1" s="451" t="s">
        <v>157</v>
      </c>
      <c r="B1" s="451"/>
      <c r="C1" s="451"/>
      <c r="D1" s="451"/>
      <c r="E1" s="451"/>
      <c r="F1" s="451"/>
      <c r="G1" s="451"/>
      <c r="H1" s="101" t="s">
        <v>192</v>
      </c>
    </row>
    <row r="2" spans="1:8" ht="18.75" x14ac:dyDescent="0.3">
      <c r="A2" s="451" t="s">
        <v>2477</v>
      </c>
      <c r="B2" s="451"/>
      <c r="C2" s="451"/>
      <c r="D2" s="451"/>
      <c r="E2" s="451"/>
      <c r="F2" s="451"/>
      <c r="G2" s="451"/>
      <c r="H2" s="77"/>
    </row>
    <row r="3" spans="1:8" ht="18.75" x14ac:dyDescent="0.3">
      <c r="A3" s="101" t="s">
        <v>14</v>
      </c>
      <c r="B3" s="63"/>
      <c r="C3" s="63"/>
      <c r="D3" s="63"/>
      <c r="E3" s="63"/>
      <c r="F3" s="63"/>
      <c r="G3" s="77" t="s">
        <v>161</v>
      </c>
      <c r="H3" s="77" t="s">
        <v>2023</v>
      </c>
    </row>
    <row r="4" spans="1:8" ht="18.75" x14ac:dyDescent="0.3">
      <c r="A4" s="102" t="s">
        <v>16</v>
      </c>
      <c r="B4" s="64" t="s">
        <v>12</v>
      </c>
      <c r="C4" s="65" t="s">
        <v>4</v>
      </c>
      <c r="D4" s="66" t="s">
        <v>25</v>
      </c>
      <c r="E4" s="103" t="s">
        <v>1</v>
      </c>
      <c r="F4" s="103" t="s">
        <v>123</v>
      </c>
      <c r="G4" s="66" t="s">
        <v>2</v>
      </c>
      <c r="H4" s="104" t="s">
        <v>3</v>
      </c>
    </row>
    <row r="5" spans="1:8" ht="18.75" x14ac:dyDescent="0.3">
      <c r="A5" s="105"/>
      <c r="B5" s="67"/>
      <c r="C5" s="68"/>
      <c r="D5" s="69"/>
      <c r="E5" s="106"/>
      <c r="F5" s="106" t="s">
        <v>33</v>
      </c>
      <c r="G5" s="69"/>
      <c r="H5" s="107" t="s">
        <v>17</v>
      </c>
    </row>
    <row r="6" spans="1:8" ht="18.75" x14ac:dyDescent="0.3">
      <c r="A6" s="89" t="s">
        <v>664</v>
      </c>
      <c r="B6" s="90" t="s">
        <v>779</v>
      </c>
      <c r="C6" s="299" t="s">
        <v>1663</v>
      </c>
      <c r="D6" s="300">
        <v>261500</v>
      </c>
      <c r="E6" s="73"/>
      <c r="F6" s="110"/>
      <c r="G6" s="110"/>
      <c r="H6" s="75"/>
    </row>
    <row r="7" spans="1:8" ht="18.75" x14ac:dyDescent="0.3">
      <c r="A7" s="89"/>
      <c r="B7" s="90"/>
      <c r="C7" s="280"/>
      <c r="D7" s="293"/>
      <c r="E7" s="73"/>
      <c r="F7" s="110"/>
      <c r="G7" s="110"/>
      <c r="H7" s="75"/>
    </row>
    <row r="8" spans="1:8" ht="18.75" x14ac:dyDescent="0.3">
      <c r="A8" s="108"/>
      <c r="B8" s="70">
        <v>1</v>
      </c>
      <c r="C8" s="49" t="s">
        <v>1677</v>
      </c>
      <c r="D8" s="42">
        <v>96620</v>
      </c>
      <c r="E8" s="73"/>
      <c r="F8" s="110"/>
      <c r="G8" s="110">
        <f>D8</f>
        <v>96620</v>
      </c>
      <c r="H8" s="75" t="s">
        <v>1676</v>
      </c>
    </row>
    <row r="9" spans="1:8" ht="18.75" x14ac:dyDescent="0.3">
      <c r="A9" s="108"/>
      <c r="B9" s="70" t="s">
        <v>2008</v>
      </c>
      <c r="C9" s="49" t="s">
        <v>1937</v>
      </c>
      <c r="D9" s="109"/>
      <c r="E9" s="73">
        <v>675</v>
      </c>
      <c r="F9" s="110"/>
      <c r="G9" s="110">
        <f>G8-E9-F9</f>
        <v>95945</v>
      </c>
      <c r="H9" s="75"/>
    </row>
    <row r="10" spans="1:8" ht="18.75" x14ac:dyDescent="0.3">
      <c r="A10" s="108" t="s">
        <v>2480</v>
      </c>
      <c r="B10" s="70" t="s">
        <v>2510</v>
      </c>
      <c r="C10" s="49" t="s">
        <v>2115</v>
      </c>
      <c r="D10" s="109"/>
      <c r="E10" s="73">
        <v>1066</v>
      </c>
      <c r="F10" s="110"/>
      <c r="G10" s="110">
        <f t="shared" ref="G10:G13" si="0">G9-E10-F10</f>
        <v>94879</v>
      </c>
      <c r="H10" s="75"/>
    </row>
    <row r="11" spans="1:8" ht="18.75" x14ac:dyDescent="0.3">
      <c r="A11" s="108"/>
      <c r="B11" s="70" t="s">
        <v>2612</v>
      </c>
      <c r="C11" s="49" t="s">
        <v>675</v>
      </c>
      <c r="D11" s="73"/>
      <c r="E11" s="134">
        <v>22950</v>
      </c>
      <c r="F11" s="110"/>
      <c r="G11" s="110">
        <f t="shared" si="0"/>
        <v>71929</v>
      </c>
      <c r="H11" s="75"/>
    </row>
    <row r="12" spans="1:8" ht="18.75" x14ac:dyDescent="0.3">
      <c r="A12" s="108" t="s">
        <v>2867</v>
      </c>
      <c r="B12" s="70" t="s">
        <v>2899</v>
      </c>
      <c r="C12" s="49" t="s">
        <v>2368</v>
      </c>
      <c r="D12" s="73"/>
      <c r="E12" s="134">
        <v>23000</v>
      </c>
      <c r="F12" s="110"/>
      <c r="G12" s="110">
        <f t="shared" si="0"/>
        <v>48929</v>
      </c>
      <c r="H12" s="75"/>
    </row>
    <row r="13" spans="1:8" ht="18.75" x14ac:dyDescent="0.3">
      <c r="A13" s="108" t="s">
        <v>2540</v>
      </c>
      <c r="B13" s="70" t="s">
        <v>2555</v>
      </c>
      <c r="C13" s="49" t="s">
        <v>2554</v>
      </c>
      <c r="D13" s="73"/>
      <c r="E13" s="134">
        <v>1000</v>
      </c>
      <c r="F13" s="110"/>
      <c r="G13" s="110">
        <f t="shared" si="0"/>
        <v>47929</v>
      </c>
      <c r="H13" s="75"/>
    </row>
    <row r="14" spans="1:8" ht="18.75" x14ac:dyDescent="0.3">
      <c r="A14" s="108" t="s">
        <v>2780</v>
      </c>
      <c r="B14" s="70"/>
      <c r="C14" s="49" t="s">
        <v>2553</v>
      </c>
      <c r="D14" s="73">
        <v>2300</v>
      </c>
      <c r="E14" s="134">
        <v>49700</v>
      </c>
      <c r="F14" s="110"/>
      <c r="G14" s="110">
        <f>G13+D14-E14-F14</f>
        <v>529</v>
      </c>
      <c r="H14" s="75"/>
    </row>
    <row r="15" spans="1:8" ht="18.75" x14ac:dyDescent="0.3">
      <c r="A15" s="108"/>
      <c r="B15" s="70"/>
      <c r="C15" s="49"/>
      <c r="D15" s="73">
        <v>-529</v>
      </c>
      <c r="E15" s="134"/>
      <c r="F15" s="110"/>
      <c r="G15" s="110">
        <f>G14+D15</f>
        <v>0</v>
      </c>
      <c r="H15" s="75"/>
    </row>
    <row r="16" spans="1:8" ht="18.75" x14ac:dyDescent="0.3">
      <c r="A16" s="108"/>
      <c r="B16" s="70"/>
      <c r="C16" s="49"/>
      <c r="D16" s="73"/>
      <c r="E16" s="134"/>
      <c r="F16" s="110"/>
      <c r="G16" s="110"/>
      <c r="H16" s="75"/>
    </row>
    <row r="17" spans="1:8" ht="18.75" x14ac:dyDescent="0.3">
      <c r="A17" s="108"/>
      <c r="B17" s="70">
        <v>2</v>
      </c>
      <c r="C17" s="49" t="s">
        <v>1677</v>
      </c>
      <c r="D17" s="42">
        <v>144750</v>
      </c>
      <c r="E17" s="73"/>
      <c r="F17" s="110"/>
      <c r="G17" s="110">
        <f>D17</f>
        <v>144750</v>
      </c>
      <c r="H17" s="75" t="s">
        <v>1676</v>
      </c>
    </row>
    <row r="18" spans="1:8" ht="18.75" x14ac:dyDescent="0.3">
      <c r="A18" s="108" t="s">
        <v>1693</v>
      </c>
      <c r="B18" s="70" t="s">
        <v>1708</v>
      </c>
      <c r="C18" s="49" t="s">
        <v>1709</v>
      </c>
      <c r="D18" s="73"/>
      <c r="E18" s="134">
        <v>119850</v>
      </c>
      <c r="F18" s="110"/>
      <c r="G18" s="110">
        <f>G17-E18</f>
        <v>24900</v>
      </c>
      <c r="H18" s="75"/>
    </row>
    <row r="19" spans="1:8" ht="18.75" x14ac:dyDescent="0.3">
      <c r="A19" s="108" t="s">
        <v>1863</v>
      </c>
      <c r="B19" s="70" t="s">
        <v>1901</v>
      </c>
      <c r="C19" s="49" t="s">
        <v>1827</v>
      </c>
      <c r="D19" s="73"/>
      <c r="E19" s="134">
        <v>24000</v>
      </c>
      <c r="F19" s="110"/>
      <c r="G19" s="110">
        <f>G18-E19-F19</f>
        <v>900</v>
      </c>
      <c r="H19" s="75"/>
    </row>
    <row r="20" spans="1:8" ht="18.75" x14ac:dyDescent="0.3">
      <c r="A20" s="108" t="s">
        <v>1950</v>
      </c>
      <c r="B20" s="70"/>
      <c r="C20" s="49" t="s">
        <v>2014</v>
      </c>
      <c r="D20" s="73"/>
      <c r="E20" s="134">
        <v>-15315</v>
      </c>
      <c r="F20" s="110"/>
      <c r="G20" s="110">
        <f>G19-E20-F20</f>
        <v>16215</v>
      </c>
      <c r="H20" s="75"/>
    </row>
    <row r="21" spans="1:8" ht="18.75" x14ac:dyDescent="0.3">
      <c r="A21" s="89"/>
      <c r="B21" s="90"/>
      <c r="C21" s="49"/>
      <c r="D21" s="109">
        <v>-16215</v>
      </c>
      <c r="E21" s="110"/>
      <c r="F21" s="110"/>
      <c r="G21" s="110">
        <f>G20+D21</f>
        <v>0</v>
      </c>
      <c r="H21" s="75"/>
    </row>
    <row r="22" spans="1:8" ht="18.75" x14ac:dyDescent="0.3">
      <c r="A22" s="108"/>
      <c r="B22" s="70"/>
      <c r="C22" s="49"/>
      <c r="D22" s="73"/>
      <c r="E22" s="134"/>
      <c r="F22" s="110"/>
      <c r="G22" s="110"/>
      <c r="H22" s="75"/>
    </row>
    <row r="23" spans="1:8" ht="18.75" x14ac:dyDescent="0.3">
      <c r="A23" s="108"/>
      <c r="B23" s="70"/>
      <c r="C23" s="49" t="s">
        <v>1678</v>
      </c>
      <c r="D23" s="73">
        <v>36874</v>
      </c>
      <c r="E23" s="134"/>
      <c r="F23" s="110"/>
      <c r="G23" s="110"/>
      <c r="H23" s="75"/>
    </row>
    <row r="24" spans="1:8" ht="18.75" x14ac:dyDescent="0.3">
      <c r="A24" s="108"/>
      <c r="B24" s="70"/>
      <c r="C24" s="116" t="s">
        <v>2650</v>
      </c>
      <c r="D24" s="289">
        <v>-36874</v>
      </c>
      <c r="E24" s="73"/>
      <c r="F24" s="73"/>
      <c r="G24" s="110"/>
      <c r="H24" s="75"/>
    </row>
    <row r="25" spans="1:8" ht="18.75" x14ac:dyDescent="0.3">
      <c r="A25" s="108"/>
      <c r="B25" s="70"/>
      <c r="C25" s="49"/>
      <c r="D25" s="73"/>
      <c r="E25" s="73"/>
      <c r="F25" s="73"/>
      <c r="G25" s="110"/>
      <c r="H25" s="75"/>
    </row>
    <row r="26" spans="1:8" ht="18.75" x14ac:dyDescent="0.3">
      <c r="A26" s="114"/>
      <c r="B26" s="115"/>
      <c r="C26" s="116"/>
      <c r="D26" s="35"/>
      <c r="E26" s="35"/>
      <c r="F26" s="35"/>
      <c r="G26" s="35"/>
      <c r="H26" s="117"/>
    </row>
    <row r="27" spans="1:8" ht="19.5" thickBot="1" x14ac:dyDescent="0.35">
      <c r="A27" s="118"/>
      <c r="B27" s="119"/>
      <c r="C27" s="120" t="s">
        <v>150</v>
      </c>
      <c r="D27" s="121">
        <f>SUM(D8:D26)</f>
        <v>226926</v>
      </c>
      <c r="E27" s="121">
        <f>SUM(E6:E26)</f>
        <v>226926</v>
      </c>
      <c r="F27" s="252">
        <f>SUM(F6:F26)</f>
        <v>0</v>
      </c>
      <c r="G27" s="210">
        <f>D27-E27-F27</f>
        <v>0</v>
      </c>
      <c r="H27" s="122"/>
    </row>
    <row r="28" spans="1:8" ht="16.5" thickTop="1" x14ac:dyDescent="0.25">
      <c r="D28" s="123"/>
      <c r="E28" s="123"/>
      <c r="F28" s="123"/>
      <c r="G28" s="123"/>
    </row>
    <row r="29" spans="1:8" x14ac:dyDescent="0.25">
      <c r="D29" s="230"/>
      <c r="E29" s="123"/>
      <c r="F29" s="123"/>
      <c r="G29" s="123"/>
    </row>
    <row r="30" spans="1:8" x14ac:dyDescent="0.25">
      <c r="D30" s="123"/>
      <c r="E30" s="123"/>
      <c r="F30" s="123"/>
      <c r="G30" s="123"/>
    </row>
    <row r="32" spans="1:8" ht="18.75" x14ac:dyDescent="0.3">
      <c r="B32" s="124"/>
      <c r="C32" s="124"/>
      <c r="D32" s="57"/>
      <c r="E32" s="124"/>
      <c r="F32" s="124"/>
      <c r="G32" s="125"/>
    </row>
    <row r="33" spans="2:7" ht="18.75" x14ac:dyDescent="0.3">
      <c r="B33" s="127"/>
      <c r="C33" s="124"/>
      <c r="D33" s="57"/>
      <c r="E33" s="124"/>
      <c r="F33" s="124"/>
      <c r="G33" s="125"/>
    </row>
    <row r="34" spans="2:7" x14ac:dyDescent="0.25">
      <c r="B34" s="124"/>
      <c r="C34" s="124"/>
      <c r="D34" s="128"/>
      <c r="E34" s="124"/>
      <c r="F34" s="124"/>
      <c r="G34" s="125"/>
    </row>
    <row r="35" spans="2:7" ht="18.75" x14ac:dyDescent="0.3">
      <c r="B35" s="124"/>
      <c r="C35" s="124"/>
      <c r="D35" s="57"/>
      <c r="E35" s="124"/>
      <c r="F35" s="124"/>
      <c r="G35" s="125"/>
    </row>
    <row r="36" spans="2:7" x14ac:dyDescent="0.25">
      <c r="B36" s="124"/>
      <c r="C36" s="124"/>
      <c r="D36" s="129"/>
      <c r="E36" s="124"/>
      <c r="F36" s="124"/>
      <c r="G36" s="124"/>
    </row>
  </sheetData>
  <mergeCells count="2">
    <mergeCell ref="A1:G1"/>
    <mergeCell ref="A2:G2"/>
  </mergeCells>
  <pageMargins left="0.2" right="0.15" top="0.15748031496062992" bottom="0.15748031496062992" header="0.15748031496062992" footer="0.1574803149606299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G24" sqref="G24"/>
    </sheetView>
  </sheetViews>
  <sheetFormatPr defaultRowHeight="15.75" x14ac:dyDescent="0.25"/>
  <cols>
    <col min="1" max="1" width="7.28515625" style="23" customWidth="1"/>
    <col min="2" max="2" width="8.7109375" style="18" customWidth="1"/>
    <col min="3" max="3" width="34.28515625" style="18" customWidth="1"/>
    <col min="4" max="4" width="11.28515625" style="18" customWidth="1"/>
    <col min="5" max="5" width="9.5703125" style="18" customWidth="1"/>
    <col min="6" max="6" width="8.28515625" style="18" customWidth="1"/>
    <col min="7" max="7" width="11.28515625" style="18" customWidth="1"/>
    <col min="8" max="8" width="9.140625" style="23" customWidth="1"/>
    <col min="9" max="16384" width="9.140625" style="18"/>
  </cols>
  <sheetData>
    <row r="1" spans="1:8" ht="18.75" x14ac:dyDescent="0.3">
      <c r="A1" s="451" t="s">
        <v>157</v>
      </c>
      <c r="B1" s="451"/>
      <c r="C1" s="451"/>
      <c r="D1" s="451"/>
      <c r="E1" s="451"/>
      <c r="F1" s="451"/>
      <c r="G1" s="451"/>
      <c r="H1" s="101" t="s">
        <v>1590</v>
      </c>
    </row>
    <row r="2" spans="1:8" ht="18.75" x14ac:dyDescent="0.3">
      <c r="A2" s="451" t="s">
        <v>2478</v>
      </c>
      <c r="B2" s="451"/>
      <c r="C2" s="451"/>
      <c r="D2" s="451"/>
      <c r="E2" s="451"/>
      <c r="F2" s="451"/>
      <c r="G2" s="451"/>
      <c r="H2" s="77"/>
    </row>
    <row r="3" spans="1:8" ht="18.75" x14ac:dyDescent="0.3">
      <c r="A3" s="101" t="s">
        <v>14</v>
      </c>
      <c r="B3" s="63"/>
      <c r="C3" s="63"/>
      <c r="D3" s="63"/>
      <c r="E3" s="63"/>
      <c r="F3" s="63"/>
      <c r="G3" s="77" t="s">
        <v>161</v>
      </c>
      <c r="H3" s="77" t="s">
        <v>2847</v>
      </c>
    </row>
    <row r="4" spans="1:8" ht="18.75" x14ac:dyDescent="0.3">
      <c r="A4" s="102" t="s">
        <v>16</v>
      </c>
      <c r="B4" s="64" t="s">
        <v>12</v>
      </c>
      <c r="C4" s="65" t="s">
        <v>4</v>
      </c>
      <c r="D4" s="66" t="s">
        <v>25</v>
      </c>
      <c r="E4" s="103" t="s">
        <v>1</v>
      </c>
      <c r="F4" s="103" t="s">
        <v>123</v>
      </c>
      <c r="G4" s="66" t="s">
        <v>2</v>
      </c>
      <c r="H4" s="104" t="s">
        <v>3</v>
      </c>
    </row>
    <row r="5" spans="1:8" ht="18.75" x14ac:dyDescent="0.3">
      <c r="A5" s="105"/>
      <c r="B5" s="67"/>
      <c r="C5" s="68"/>
      <c r="D5" s="69"/>
      <c r="E5" s="106"/>
      <c r="F5" s="106" t="s">
        <v>33</v>
      </c>
      <c r="G5" s="69"/>
      <c r="H5" s="107" t="s">
        <v>17</v>
      </c>
    </row>
    <row r="6" spans="1:8" ht="18.75" x14ac:dyDescent="0.3">
      <c r="A6" s="89"/>
      <c r="B6" s="90"/>
      <c r="C6" s="74"/>
      <c r="D6" s="109"/>
      <c r="E6" s="73"/>
      <c r="F6" s="110"/>
      <c r="G6" s="110"/>
      <c r="H6" s="75"/>
    </row>
    <row r="7" spans="1:8" ht="18.75" x14ac:dyDescent="0.3">
      <c r="A7" s="89" t="s">
        <v>664</v>
      </c>
      <c r="B7" s="90" t="s">
        <v>779</v>
      </c>
      <c r="C7" s="294" t="s">
        <v>1663</v>
      </c>
      <c r="D7" s="295">
        <v>333000</v>
      </c>
      <c r="E7" s="296"/>
      <c r="F7" s="297"/>
      <c r="G7" s="297"/>
      <c r="H7" s="298"/>
    </row>
    <row r="8" spans="1:8" ht="18.75" x14ac:dyDescent="0.3">
      <c r="A8" s="89"/>
      <c r="B8" s="90"/>
      <c r="C8" s="280"/>
      <c r="D8" s="293"/>
      <c r="E8" s="281"/>
      <c r="F8" s="282"/>
      <c r="G8" s="282"/>
      <c r="H8" s="269"/>
    </row>
    <row r="9" spans="1:8" ht="18.75" x14ac:dyDescent="0.3">
      <c r="A9" s="108"/>
      <c r="B9" s="70">
        <v>1</v>
      </c>
      <c r="C9" s="49" t="s">
        <v>1677</v>
      </c>
      <c r="D9" s="42">
        <v>303400</v>
      </c>
      <c r="E9" s="73"/>
      <c r="F9" s="110"/>
      <c r="G9" s="110">
        <f>D9</f>
        <v>303400</v>
      </c>
      <c r="H9" s="75" t="s">
        <v>1676</v>
      </c>
    </row>
    <row r="10" spans="1:8" ht="18.75" x14ac:dyDescent="0.3">
      <c r="A10" s="108" t="s">
        <v>2015</v>
      </c>
      <c r="B10" s="70" t="s">
        <v>2047</v>
      </c>
      <c r="C10" s="49" t="s">
        <v>2016</v>
      </c>
      <c r="D10" s="109"/>
      <c r="E10" s="439">
        <v>207000</v>
      </c>
      <c r="F10" s="110"/>
      <c r="G10" s="110">
        <f>G9-E10</f>
        <v>96400</v>
      </c>
      <c r="H10" s="348"/>
    </row>
    <row r="11" spans="1:8" ht="18.75" x14ac:dyDescent="0.3">
      <c r="A11" s="108" t="s">
        <v>2394</v>
      </c>
      <c r="B11" s="70" t="s">
        <v>2416</v>
      </c>
      <c r="C11" s="49" t="s">
        <v>2017</v>
      </c>
      <c r="D11" s="73"/>
      <c r="E11" s="440">
        <v>42000</v>
      </c>
      <c r="F11" s="110"/>
      <c r="G11" s="110">
        <f>G10-E11-F11</f>
        <v>54400</v>
      </c>
      <c r="H11" s="75"/>
    </row>
    <row r="12" spans="1:8" ht="18.75" x14ac:dyDescent="0.3">
      <c r="A12" s="108" t="s">
        <v>2221</v>
      </c>
      <c r="B12" s="70" t="s">
        <v>2239</v>
      </c>
      <c r="C12" s="49" t="s">
        <v>2018</v>
      </c>
      <c r="D12" s="73"/>
      <c r="E12" s="440">
        <v>300</v>
      </c>
      <c r="F12" s="110"/>
      <c r="G12" s="110">
        <f t="shared" ref="G12:G14" si="0">G11-E12-F12</f>
        <v>54100</v>
      </c>
      <c r="H12" s="75"/>
    </row>
    <row r="13" spans="1:8" ht="18.75" x14ac:dyDescent="0.3">
      <c r="A13" s="108" t="s">
        <v>2221</v>
      </c>
      <c r="B13" s="70" t="s">
        <v>2238</v>
      </c>
      <c r="C13" s="49" t="s">
        <v>675</v>
      </c>
      <c r="D13" s="73"/>
      <c r="E13" s="440">
        <v>3000</v>
      </c>
      <c r="F13" s="110"/>
      <c r="G13" s="110">
        <f t="shared" si="0"/>
        <v>51100</v>
      </c>
      <c r="H13" s="75"/>
    </row>
    <row r="14" spans="1:8" ht="18.75" x14ac:dyDescent="0.3">
      <c r="A14" s="108" t="s">
        <v>2024</v>
      </c>
      <c r="B14" s="70" t="s">
        <v>2089</v>
      </c>
      <c r="C14" s="49" t="s">
        <v>2025</v>
      </c>
      <c r="D14" s="109"/>
      <c r="E14" s="439">
        <v>4000</v>
      </c>
      <c r="F14" s="110"/>
      <c r="G14" s="110">
        <f t="shared" si="0"/>
        <v>47100</v>
      </c>
      <c r="H14" s="75"/>
    </row>
    <row r="15" spans="1:8" ht="18.75" x14ac:dyDescent="0.3">
      <c r="A15" s="108"/>
      <c r="B15" s="70"/>
      <c r="C15" s="49"/>
      <c r="D15" s="73">
        <v>-47100</v>
      </c>
      <c r="E15" s="134"/>
      <c r="F15" s="110"/>
      <c r="G15" s="110">
        <f>G14+D15</f>
        <v>0</v>
      </c>
      <c r="H15" s="75"/>
    </row>
    <row r="16" spans="1:8" ht="18.75" x14ac:dyDescent="0.3">
      <c r="A16" s="89"/>
      <c r="B16" s="90"/>
      <c r="C16" s="49"/>
      <c r="D16" s="109"/>
      <c r="E16" s="110"/>
      <c r="F16" s="110"/>
      <c r="G16" s="110"/>
      <c r="H16" s="75"/>
    </row>
    <row r="17" spans="1:8" ht="18.75" x14ac:dyDescent="0.3">
      <c r="A17" s="108"/>
      <c r="B17" s="70"/>
      <c r="C17" s="49" t="s">
        <v>1678</v>
      </c>
      <c r="D17" s="73">
        <v>76700</v>
      </c>
      <c r="E17" s="134"/>
      <c r="F17" s="110"/>
      <c r="G17" s="110"/>
      <c r="H17" s="75"/>
    </row>
    <row r="18" spans="1:8" ht="18.75" x14ac:dyDescent="0.3">
      <c r="A18" s="108"/>
      <c r="B18" s="70"/>
      <c r="C18" s="116" t="s">
        <v>2650</v>
      </c>
      <c r="D18" s="289">
        <v>-76700</v>
      </c>
      <c r="E18" s="134"/>
      <c r="F18" s="110"/>
      <c r="G18" s="110"/>
      <c r="H18" s="75"/>
    </row>
    <row r="19" spans="1:8" ht="18.75" x14ac:dyDescent="0.3">
      <c r="A19" s="108"/>
      <c r="B19" s="70"/>
      <c r="C19" s="94"/>
      <c r="D19" s="278"/>
      <c r="E19" s="73"/>
      <c r="F19" s="73"/>
      <c r="G19" s="110"/>
      <c r="H19" s="75"/>
    </row>
    <row r="20" spans="1:8" ht="18.75" x14ac:dyDescent="0.3">
      <c r="A20" s="108"/>
      <c r="B20" s="70"/>
      <c r="C20" s="49"/>
      <c r="D20" s="73"/>
      <c r="E20" s="73"/>
      <c r="F20" s="73"/>
      <c r="G20" s="110"/>
      <c r="H20" s="75"/>
    </row>
    <row r="21" spans="1:8" ht="18.75" x14ac:dyDescent="0.3">
      <c r="A21" s="114"/>
      <c r="B21" s="115"/>
      <c r="C21" s="116"/>
      <c r="D21" s="35"/>
      <c r="E21" s="35"/>
      <c r="F21" s="35"/>
      <c r="G21" s="35"/>
      <c r="H21" s="117"/>
    </row>
    <row r="22" spans="1:8" ht="19.5" thickBot="1" x14ac:dyDescent="0.35">
      <c r="A22" s="118"/>
      <c r="B22" s="119"/>
      <c r="C22" s="120" t="s">
        <v>150</v>
      </c>
      <c r="D22" s="121">
        <f>SUM(D9:D21)</f>
        <v>256300</v>
      </c>
      <c r="E22" s="121">
        <f>SUM(E9:E21)</f>
        <v>256300</v>
      </c>
      <c r="F22" s="252">
        <f>SUM(F9:F21)</f>
        <v>0</v>
      </c>
      <c r="G22" s="413">
        <f>D22-E22-F22</f>
        <v>0</v>
      </c>
      <c r="H22" s="122"/>
    </row>
    <row r="23" spans="1:8" ht="16.5" thickTop="1" x14ac:dyDescent="0.25">
      <c r="D23" s="123"/>
      <c r="E23" s="123"/>
      <c r="F23" s="123"/>
      <c r="G23" s="123"/>
    </row>
    <row r="24" spans="1:8" x14ac:dyDescent="0.25">
      <c r="D24" s="230"/>
      <c r="E24" s="123"/>
      <c r="F24" s="123"/>
      <c r="G24" s="123"/>
    </row>
    <row r="25" spans="1:8" x14ac:dyDescent="0.25">
      <c r="D25" s="123"/>
      <c r="E25" s="123"/>
      <c r="F25" s="123"/>
      <c r="G25" s="123"/>
    </row>
    <row r="27" spans="1:8" ht="18.75" x14ac:dyDescent="0.3">
      <c r="B27" s="124"/>
      <c r="C27" s="124"/>
      <c r="D27" s="57"/>
      <c r="E27" s="124"/>
      <c r="F27" s="124"/>
      <c r="G27" s="125"/>
    </row>
    <row r="28" spans="1:8" ht="18.75" x14ac:dyDescent="0.3">
      <c r="B28" s="127"/>
      <c r="C28" s="124"/>
      <c r="D28" s="57"/>
      <c r="E28" s="124"/>
      <c r="F28" s="124"/>
      <c r="G28" s="125"/>
    </row>
    <row r="29" spans="1:8" x14ac:dyDescent="0.25">
      <c r="B29" s="124"/>
      <c r="C29" s="124"/>
      <c r="D29" s="128"/>
      <c r="E29" s="124"/>
      <c r="F29" s="124"/>
      <c r="G29" s="125"/>
    </row>
    <row r="30" spans="1:8" ht="18.75" x14ac:dyDescent="0.3">
      <c r="B30" s="124"/>
      <c r="C30" s="124"/>
      <c r="D30" s="57"/>
      <c r="E30" s="124"/>
      <c r="F30" s="124"/>
      <c r="G30" s="125"/>
    </row>
    <row r="31" spans="1:8" x14ac:dyDescent="0.25">
      <c r="B31" s="124"/>
      <c r="C31" s="124"/>
      <c r="D31" s="129"/>
      <c r="E31" s="124"/>
      <c r="F31" s="124"/>
      <c r="G31" s="124"/>
    </row>
  </sheetData>
  <mergeCells count="2">
    <mergeCell ref="A1:G1"/>
    <mergeCell ref="A2:G2"/>
  </mergeCells>
  <pageMargins left="0.2" right="0.15" top="0.15748031496062992" bottom="0.15748031496062992" header="0.15748031496062992" footer="0.1574803149606299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9"/>
  <sheetViews>
    <sheetView topLeftCell="D1" workbookViewId="0">
      <selection activeCell="F3" sqref="F3"/>
    </sheetView>
  </sheetViews>
  <sheetFormatPr defaultRowHeight="17.25" x14ac:dyDescent="0.3"/>
  <cols>
    <col min="1" max="1" width="8.7109375" style="78" customWidth="1"/>
    <col min="2" max="2" width="8.42578125" style="78" customWidth="1"/>
    <col min="3" max="3" width="26.42578125" style="78" customWidth="1"/>
    <col min="4" max="4" width="12" style="78" customWidth="1"/>
    <col min="5" max="5" width="12.28515625" style="78" customWidth="1"/>
    <col min="6" max="6" width="10.7109375" style="23" customWidth="1"/>
    <col min="7" max="7" width="12.5703125" style="78" customWidth="1"/>
    <col min="8" max="8" width="8.28515625" style="78" customWidth="1"/>
    <col min="9" max="9" width="11.140625" style="78" customWidth="1"/>
    <col min="10" max="16384" width="9.140625" style="78"/>
  </cols>
  <sheetData>
    <row r="3" spans="1:8" ht="18.75" x14ac:dyDescent="0.3">
      <c r="A3" s="77"/>
      <c r="B3" s="77"/>
      <c r="C3" s="77"/>
      <c r="D3" s="63" t="s">
        <v>134</v>
      </c>
      <c r="E3" s="77"/>
      <c r="F3" s="101"/>
      <c r="G3" s="77"/>
      <c r="H3" s="77"/>
    </row>
    <row r="4" spans="1:8" x14ac:dyDescent="0.3">
      <c r="A4" s="77" t="s">
        <v>2918</v>
      </c>
      <c r="B4" s="77"/>
      <c r="C4" s="77"/>
      <c r="D4" s="77"/>
      <c r="E4" s="77"/>
      <c r="F4" s="101" t="s">
        <v>799</v>
      </c>
      <c r="G4" s="77"/>
      <c r="H4" s="77" t="s">
        <v>165</v>
      </c>
    </row>
    <row r="5" spans="1:8" x14ac:dyDescent="0.3">
      <c r="A5" s="77" t="s">
        <v>14</v>
      </c>
      <c r="B5" s="77"/>
      <c r="C5" s="77"/>
      <c r="D5" s="77"/>
      <c r="E5" s="77"/>
      <c r="F5" s="101"/>
      <c r="G5" s="212" t="s">
        <v>166</v>
      </c>
      <c r="H5" s="77" t="s">
        <v>167</v>
      </c>
    </row>
    <row r="6" spans="1:8" x14ac:dyDescent="0.3">
      <c r="A6" s="80" t="s">
        <v>16</v>
      </c>
      <c r="B6" s="80" t="s">
        <v>12</v>
      </c>
      <c r="C6" s="81" t="s">
        <v>4</v>
      </c>
      <c r="D6" s="82" t="s">
        <v>15</v>
      </c>
      <c r="E6" s="82" t="s">
        <v>1</v>
      </c>
      <c r="F6" s="311" t="s">
        <v>36</v>
      </c>
      <c r="G6" s="83" t="s">
        <v>2</v>
      </c>
      <c r="H6" s="81" t="s">
        <v>3</v>
      </c>
    </row>
    <row r="7" spans="1:8" x14ac:dyDescent="0.3">
      <c r="A7" s="84"/>
      <c r="B7" s="84"/>
      <c r="C7" s="85"/>
      <c r="D7" s="86" t="s">
        <v>0</v>
      </c>
      <c r="E7" s="86"/>
      <c r="F7" s="316" t="s">
        <v>34</v>
      </c>
      <c r="G7" s="87"/>
      <c r="H7" s="88" t="s">
        <v>17</v>
      </c>
    </row>
    <row r="8" spans="1:8" x14ac:dyDescent="0.3">
      <c r="A8" s="133" t="s">
        <v>168</v>
      </c>
      <c r="B8" s="90" t="s">
        <v>170</v>
      </c>
      <c r="C8" s="74" t="s">
        <v>135</v>
      </c>
      <c r="D8" s="134">
        <v>5729790</v>
      </c>
      <c r="E8" s="134"/>
      <c r="F8" s="351"/>
      <c r="G8" s="135">
        <f>D8</f>
        <v>5729790</v>
      </c>
      <c r="H8" s="130" t="s">
        <v>171</v>
      </c>
    </row>
    <row r="9" spans="1:8" x14ac:dyDescent="0.3">
      <c r="A9" s="133" t="s">
        <v>254</v>
      </c>
      <c r="B9" s="90" t="s">
        <v>271</v>
      </c>
      <c r="C9" s="49" t="s">
        <v>255</v>
      </c>
      <c r="D9" s="91"/>
      <c r="E9" s="91">
        <v>3876843</v>
      </c>
      <c r="F9" s="351"/>
      <c r="G9" s="93">
        <f>G8-E9</f>
        <v>1852947</v>
      </c>
      <c r="H9" s="96"/>
    </row>
    <row r="10" spans="1:8" x14ac:dyDescent="0.3">
      <c r="A10" s="89" t="s">
        <v>594</v>
      </c>
      <c r="B10" s="90" t="s">
        <v>595</v>
      </c>
      <c r="C10" s="74" t="s">
        <v>596</v>
      </c>
      <c r="D10" s="136">
        <v>5522900</v>
      </c>
      <c r="E10" s="93"/>
      <c r="F10" s="351"/>
      <c r="G10" s="93">
        <f>G9+D10</f>
        <v>7375847</v>
      </c>
      <c r="H10" s="96"/>
    </row>
    <row r="11" spans="1:8" x14ac:dyDescent="0.3">
      <c r="A11" s="133" t="s">
        <v>591</v>
      </c>
      <c r="B11" s="90" t="s">
        <v>592</v>
      </c>
      <c r="C11" s="49" t="s">
        <v>387</v>
      </c>
      <c r="D11" s="91"/>
      <c r="E11" s="93">
        <v>1918666.77</v>
      </c>
      <c r="F11" s="351"/>
      <c r="G11" s="93">
        <f>G10-E11</f>
        <v>5457180.2300000004</v>
      </c>
      <c r="H11" s="96"/>
    </row>
    <row r="12" spans="1:8" ht="18.75" x14ac:dyDescent="0.3">
      <c r="A12" s="133"/>
      <c r="B12" s="90"/>
      <c r="C12" s="49" t="s">
        <v>1469</v>
      </c>
      <c r="D12" s="91"/>
      <c r="E12" s="268">
        <v>-3629.03</v>
      </c>
      <c r="F12" s="351"/>
      <c r="G12" s="93">
        <f>G11-E12</f>
        <v>5460809.2600000007</v>
      </c>
      <c r="H12" s="96"/>
    </row>
    <row r="13" spans="1:8" x14ac:dyDescent="0.3">
      <c r="A13" s="89" t="s">
        <v>658</v>
      </c>
      <c r="B13" s="90" t="s">
        <v>695</v>
      </c>
      <c r="C13" s="49" t="s">
        <v>656</v>
      </c>
      <c r="D13" s="91"/>
      <c r="E13" s="91">
        <v>1925130.63</v>
      </c>
      <c r="F13" s="351"/>
      <c r="G13" s="93">
        <f>G12-E13</f>
        <v>3535678.6300000008</v>
      </c>
      <c r="H13" s="96"/>
    </row>
    <row r="14" spans="1:8" x14ac:dyDescent="0.3">
      <c r="A14" s="133" t="s">
        <v>901</v>
      </c>
      <c r="B14" s="97" t="s">
        <v>919</v>
      </c>
      <c r="C14" s="49" t="s">
        <v>892</v>
      </c>
      <c r="D14" s="91"/>
      <c r="E14" s="92">
        <v>1960930</v>
      </c>
      <c r="F14" s="351"/>
      <c r="G14" s="93">
        <f>G13-E14</f>
        <v>1574748.6300000008</v>
      </c>
      <c r="H14" s="96"/>
    </row>
    <row r="15" spans="1:8" x14ac:dyDescent="0.3">
      <c r="A15" s="89" t="s">
        <v>1186</v>
      </c>
      <c r="B15" s="90" t="s">
        <v>1187</v>
      </c>
      <c r="C15" s="74" t="s">
        <v>1185</v>
      </c>
      <c r="D15" s="91">
        <v>6289200</v>
      </c>
      <c r="E15" s="91"/>
      <c r="F15" s="351"/>
      <c r="G15" s="93">
        <f>G14+D15</f>
        <v>7863948.6300000008</v>
      </c>
      <c r="H15" s="96"/>
    </row>
    <row r="16" spans="1:8" x14ac:dyDescent="0.3">
      <c r="A16" s="89" t="s">
        <v>1186</v>
      </c>
      <c r="B16" s="90" t="s">
        <v>1189</v>
      </c>
      <c r="C16" s="49" t="s">
        <v>1188</v>
      </c>
      <c r="D16" s="91"/>
      <c r="E16" s="91">
        <v>3958774.8</v>
      </c>
      <c r="F16" s="351"/>
      <c r="G16" s="93">
        <f>G15-E16</f>
        <v>3905173.830000001</v>
      </c>
      <c r="H16" s="94"/>
    </row>
    <row r="17" spans="1:10" x14ac:dyDescent="0.3">
      <c r="A17" s="89" t="s">
        <v>1408</v>
      </c>
      <c r="B17" s="97" t="s">
        <v>1424</v>
      </c>
      <c r="C17" s="49" t="s">
        <v>1425</v>
      </c>
      <c r="D17" s="91"/>
      <c r="E17" s="91">
        <v>1897400</v>
      </c>
      <c r="F17" s="351"/>
      <c r="G17" s="93">
        <f>G16-E17</f>
        <v>2007773.830000001</v>
      </c>
      <c r="H17" s="94"/>
      <c r="I17" s="138"/>
      <c r="J17" s="138"/>
    </row>
    <row r="18" spans="1:10" ht="18.75" x14ac:dyDescent="0.3">
      <c r="A18" s="89" t="s">
        <v>1443</v>
      </c>
      <c r="B18" s="90"/>
      <c r="C18" s="49" t="s">
        <v>1448</v>
      </c>
      <c r="D18" s="91"/>
      <c r="E18" s="73">
        <v>-9053.23</v>
      </c>
      <c r="F18" s="351"/>
      <c r="G18" s="93">
        <f>G17-E18</f>
        <v>2016827.060000001</v>
      </c>
      <c r="H18" s="94"/>
      <c r="I18" s="138"/>
      <c r="J18" s="138"/>
    </row>
    <row r="19" spans="1:10" x14ac:dyDescent="0.3">
      <c r="A19" s="89" t="s">
        <v>1606</v>
      </c>
      <c r="B19" s="97" t="s">
        <v>1629</v>
      </c>
      <c r="C19" s="49" t="s">
        <v>1599</v>
      </c>
      <c r="D19" s="91"/>
      <c r="E19" s="91">
        <v>1859000</v>
      </c>
      <c r="F19" s="351"/>
      <c r="G19" s="93">
        <f>G18-E19</f>
        <v>157827.06000000099</v>
      </c>
      <c r="H19" s="94"/>
      <c r="I19" s="138"/>
      <c r="J19" s="138"/>
    </row>
    <row r="20" spans="1:10" x14ac:dyDescent="0.3">
      <c r="A20" s="89" t="s">
        <v>1485</v>
      </c>
      <c r="B20" s="97"/>
      <c r="C20" s="76" t="s">
        <v>1679</v>
      </c>
      <c r="D20" s="91"/>
      <c r="E20" s="91">
        <v>-3017.74</v>
      </c>
      <c r="F20" s="351"/>
      <c r="G20" s="93">
        <f>G19-E20</f>
        <v>160844.80000000098</v>
      </c>
      <c r="H20" s="94"/>
      <c r="I20" s="138"/>
      <c r="J20" s="138"/>
    </row>
    <row r="21" spans="1:10" x14ac:dyDescent="0.3">
      <c r="A21" s="89" t="s">
        <v>1743</v>
      </c>
      <c r="B21" s="97" t="s">
        <v>1879</v>
      </c>
      <c r="C21" s="74" t="s">
        <v>1880</v>
      </c>
      <c r="D21" s="93">
        <v>6020000</v>
      </c>
      <c r="E21" s="93"/>
      <c r="F21" s="352"/>
      <c r="G21" s="93">
        <f>G20+D21</f>
        <v>6180844.8000000007</v>
      </c>
      <c r="H21" s="94"/>
      <c r="I21" s="138"/>
      <c r="J21" s="138"/>
    </row>
    <row r="22" spans="1:10" x14ac:dyDescent="0.3">
      <c r="A22" s="89" t="s">
        <v>1950</v>
      </c>
      <c r="B22" s="97" t="s">
        <v>1982</v>
      </c>
      <c r="C22" s="49" t="s">
        <v>1978</v>
      </c>
      <c r="D22" s="91"/>
      <c r="E22" s="91">
        <v>1823823.55</v>
      </c>
      <c r="F22" s="351"/>
      <c r="G22" s="91">
        <f>G21-E22</f>
        <v>4357021.2500000009</v>
      </c>
      <c r="H22" s="94"/>
      <c r="I22" s="138"/>
      <c r="J22" s="138"/>
    </row>
    <row r="23" spans="1:10" x14ac:dyDescent="0.3">
      <c r="A23" s="89" t="s">
        <v>2251</v>
      </c>
      <c r="B23" s="97" t="s">
        <v>2255</v>
      </c>
      <c r="C23" s="49" t="s">
        <v>2096</v>
      </c>
      <c r="D23" s="91"/>
      <c r="E23" s="91">
        <v>1821330</v>
      </c>
      <c r="F23" s="351"/>
      <c r="G23" s="91">
        <f>G22-E23-F23</f>
        <v>2535691.2500000009</v>
      </c>
      <c r="H23" s="94"/>
      <c r="I23" s="138"/>
      <c r="J23" s="138"/>
    </row>
    <row r="24" spans="1:10" x14ac:dyDescent="0.3">
      <c r="A24" s="89" t="s">
        <v>2741</v>
      </c>
      <c r="B24" s="97" t="s">
        <v>2785</v>
      </c>
      <c r="C24" s="49" t="s">
        <v>2097</v>
      </c>
      <c r="D24" s="91"/>
      <c r="E24" s="91">
        <v>1805530</v>
      </c>
      <c r="F24" s="351"/>
      <c r="G24" s="91">
        <f>G23-E24-F24</f>
        <v>730161.25000000093</v>
      </c>
      <c r="H24" s="94"/>
      <c r="I24" s="138"/>
      <c r="J24" s="138"/>
    </row>
    <row r="25" spans="1:10" x14ac:dyDescent="0.3">
      <c r="A25" s="89"/>
      <c r="B25" s="97"/>
      <c r="C25" s="76" t="s">
        <v>2919</v>
      </c>
      <c r="D25" s="91"/>
      <c r="E25" s="91">
        <v>-36764.39</v>
      </c>
      <c r="F25" s="351"/>
      <c r="G25" s="91">
        <f>G24-E25-F25</f>
        <v>766925.64000000095</v>
      </c>
      <c r="H25" s="94"/>
      <c r="I25" s="138"/>
      <c r="J25" s="138"/>
    </row>
    <row r="26" spans="1:10" x14ac:dyDescent="0.3">
      <c r="A26" s="89"/>
      <c r="B26" s="97"/>
      <c r="C26" s="76"/>
      <c r="D26" s="91"/>
      <c r="E26" s="91"/>
      <c r="F26" s="197"/>
      <c r="G26" s="91"/>
      <c r="H26" s="94"/>
      <c r="I26" s="138"/>
      <c r="J26" s="138"/>
    </row>
    <row r="27" spans="1:10" x14ac:dyDescent="0.3">
      <c r="A27" s="89"/>
      <c r="B27" s="97"/>
      <c r="C27" s="76"/>
      <c r="D27" s="91"/>
      <c r="E27" s="91"/>
      <c r="F27" s="351"/>
      <c r="G27" s="91"/>
      <c r="H27" s="94"/>
      <c r="I27" s="138"/>
      <c r="J27" s="138"/>
    </row>
    <row r="28" spans="1:10" x14ac:dyDescent="0.3">
      <c r="A28" s="89"/>
      <c r="B28" s="97"/>
      <c r="C28" s="76"/>
      <c r="D28" s="141"/>
      <c r="E28" s="141"/>
      <c r="F28" s="353"/>
      <c r="G28" s="142"/>
      <c r="H28" s="94"/>
      <c r="I28" s="138"/>
      <c r="J28" s="138"/>
    </row>
    <row r="29" spans="1:10" ht="18" thickBot="1" x14ac:dyDescent="0.35">
      <c r="A29" s="89"/>
      <c r="B29" s="143"/>
      <c r="C29" s="131" t="s">
        <v>20</v>
      </c>
      <c r="D29" s="180">
        <f>SUM(D8:D28)</f>
        <v>23561890</v>
      </c>
      <c r="E29" s="180">
        <f>SUM(E8:E28)</f>
        <v>22794964.359999999</v>
      </c>
      <c r="F29" s="196">
        <f>SUM(F8:F28)</f>
        <v>0</v>
      </c>
      <c r="G29" s="144">
        <f>D29-E29-F29</f>
        <v>766925.6400000006</v>
      </c>
      <c r="H29" s="94"/>
      <c r="I29" s="138"/>
      <c r="J29" s="138"/>
    </row>
    <row r="30" spans="1:10" ht="18" thickTop="1" x14ac:dyDescent="0.3">
      <c r="B30" s="145"/>
      <c r="D30" s="78" t="s">
        <v>121</v>
      </c>
      <c r="E30" s="132"/>
      <c r="I30" s="138"/>
      <c r="J30" s="138"/>
    </row>
    <row r="31" spans="1:10" x14ac:dyDescent="0.3">
      <c r="E31" s="132"/>
      <c r="I31" s="138"/>
      <c r="J31" s="138"/>
    </row>
    <row r="32" spans="1:10" x14ac:dyDescent="0.3">
      <c r="E32" s="132"/>
      <c r="G32" s="132"/>
      <c r="I32" s="138"/>
      <c r="J32" s="138"/>
    </row>
    <row r="33" spans="4:7" x14ac:dyDescent="0.3">
      <c r="D33" s="132"/>
      <c r="E33" s="132"/>
      <c r="G33" s="132"/>
    </row>
    <row r="34" spans="4:7" x14ac:dyDescent="0.3">
      <c r="D34" s="166"/>
      <c r="E34" s="164"/>
      <c r="G34" s="132"/>
    </row>
    <row r="35" spans="4:7" x14ac:dyDescent="0.3">
      <c r="D35" s="132"/>
    </row>
    <row r="36" spans="4:7" x14ac:dyDescent="0.3">
      <c r="D36" s="139"/>
    </row>
    <row r="37" spans="4:7" x14ac:dyDescent="0.3">
      <c r="D37" s="139"/>
    </row>
    <row r="39" spans="4:7" x14ac:dyDescent="0.3">
      <c r="D39" s="147"/>
    </row>
  </sheetData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topLeftCell="A79" workbookViewId="0">
      <selection activeCell="L91" sqref="L91"/>
    </sheetView>
  </sheetViews>
  <sheetFormatPr defaultRowHeight="17.25" x14ac:dyDescent="0.3"/>
  <cols>
    <col min="1" max="1" width="8.7109375" style="78" customWidth="1"/>
    <col min="2" max="2" width="8.42578125" style="78" customWidth="1"/>
    <col min="3" max="3" width="23.85546875" style="78" customWidth="1"/>
    <col min="4" max="4" width="11.42578125" style="78" customWidth="1"/>
    <col min="5" max="5" width="11.7109375" style="78" customWidth="1"/>
    <col min="6" max="6" width="10.5703125" style="23" customWidth="1"/>
    <col min="7" max="7" width="13" style="78" customWidth="1"/>
    <col min="8" max="8" width="8.85546875" style="78" customWidth="1"/>
    <col min="9" max="9" width="9.140625" style="78"/>
    <col min="10" max="10" width="14.42578125" style="78" customWidth="1"/>
    <col min="11" max="11" width="14.85546875" style="78" customWidth="1"/>
    <col min="12" max="12" width="16.140625" style="78" customWidth="1"/>
    <col min="13" max="13" width="23.7109375" style="78" customWidth="1"/>
    <col min="14" max="14" width="9.140625" style="78"/>
    <col min="15" max="15" width="12.28515625" style="78" customWidth="1"/>
    <col min="16" max="16" width="11.140625" style="78" customWidth="1"/>
    <col min="17" max="16384" width="9.140625" style="78"/>
  </cols>
  <sheetData>
    <row r="1" spans="1:13" x14ac:dyDescent="0.3">
      <c r="A1" s="453" t="s">
        <v>209</v>
      </c>
      <c r="B1" s="453"/>
      <c r="C1" s="453"/>
      <c r="D1" s="453"/>
      <c r="E1" s="453"/>
      <c r="F1" s="453"/>
      <c r="G1" s="453"/>
      <c r="H1" s="77" t="s">
        <v>160</v>
      </c>
    </row>
    <row r="2" spans="1:13" x14ac:dyDescent="0.3">
      <c r="A2" s="453" t="s">
        <v>2663</v>
      </c>
      <c r="B2" s="453"/>
      <c r="C2" s="453"/>
      <c r="D2" s="453"/>
      <c r="E2" s="453"/>
      <c r="F2" s="453"/>
      <c r="G2" s="453"/>
      <c r="H2" s="453"/>
    </row>
    <row r="3" spans="1:13" ht="18.75" x14ac:dyDescent="0.3">
      <c r="A3" s="77" t="s">
        <v>14</v>
      </c>
      <c r="B3" s="77"/>
      <c r="C3" s="77"/>
      <c r="D3" s="77"/>
      <c r="E3" s="77"/>
      <c r="F3" s="101"/>
      <c r="G3" s="77" t="s">
        <v>5</v>
      </c>
      <c r="H3" s="77" t="s">
        <v>142</v>
      </c>
      <c r="J3" s="44" t="s">
        <v>737</v>
      </c>
      <c r="K3" s="44" t="s">
        <v>915</v>
      </c>
    </row>
    <row r="4" spans="1:13" x14ac:dyDescent="0.3">
      <c r="A4" s="80" t="s">
        <v>16</v>
      </c>
      <c r="B4" s="80" t="s">
        <v>12</v>
      </c>
      <c r="C4" s="81" t="s">
        <v>4</v>
      </c>
      <c r="D4" s="82" t="s">
        <v>15</v>
      </c>
      <c r="E4" s="82" t="s">
        <v>1</v>
      </c>
      <c r="F4" s="311" t="s">
        <v>36</v>
      </c>
      <c r="G4" s="83" t="s">
        <v>2</v>
      </c>
      <c r="H4" s="81" t="s">
        <v>3</v>
      </c>
    </row>
    <row r="5" spans="1:13" ht="28.5" customHeight="1" x14ac:dyDescent="0.3">
      <c r="A5" s="84"/>
      <c r="B5" s="84"/>
      <c r="C5" s="85"/>
      <c r="D5" s="86" t="s">
        <v>0</v>
      </c>
      <c r="E5" s="86"/>
      <c r="F5" s="316" t="s">
        <v>34</v>
      </c>
      <c r="G5" s="87"/>
      <c r="H5" s="88" t="s">
        <v>17</v>
      </c>
      <c r="I5" s="233" t="s">
        <v>8</v>
      </c>
      <c r="J5" s="233" t="s">
        <v>9</v>
      </c>
      <c r="K5" s="233" t="s">
        <v>41</v>
      </c>
      <c r="L5" s="233" t="s">
        <v>2</v>
      </c>
      <c r="M5" s="233" t="s">
        <v>3</v>
      </c>
    </row>
    <row r="6" spans="1:13" ht="18.75" x14ac:dyDescent="0.3">
      <c r="A6" s="133"/>
      <c r="B6" s="90"/>
      <c r="C6" s="76" t="s">
        <v>200</v>
      </c>
      <c r="D6" s="136"/>
      <c r="E6" s="136"/>
      <c r="F6" s="352"/>
      <c r="G6" s="92"/>
      <c r="H6" s="130"/>
      <c r="I6" s="233">
        <v>1</v>
      </c>
      <c r="J6" s="56">
        <v>8032500</v>
      </c>
      <c r="K6" s="56">
        <v>6359985.0300000003</v>
      </c>
      <c r="L6" s="56">
        <f t="shared" ref="L6:L33" si="0">J6-K6</f>
        <v>1672514.9699999997</v>
      </c>
      <c r="M6" s="2" t="s">
        <v>733</v>
      </c>
    </row>
    <row r="7" spans="1:13" ht="18.75" x14ac:dyDescent="0.3">
      <c r="A7" s="133" t="s">
        <v>188</v>
      </c>
      <c r="B7" s="90" t="s">
        <v>189</v>
      </c>
      <c r="C7" s="74" t="s">
        <v>201</v>
      </c>
      <c r="D7" s="134">
        <v>6615000</v>
      </c>
      <c r="E7" s="134"/>
      <c r="F7" s="351"/>
      <c r="G7" s="135">
        <v>6615000</v>
      </c>
      <c r="H7" s="130" t="s">
        <v>171</v>
      </c>
      <c r="I7" s="233">
        <v>2</v>
      </c>
      <c r="J7" s="56">
        <v>5832000</v>
      </c>
      <c r="K7" s="56">
        <v>2352609.52</v>
      </c>
      <c r="L7" s="56">
        <f t="shared" si="0"/>
        <v>3479390.48</v>
      </c>
      <c r="M7" s="2" t="s">
        <v>926</v>
      </c>
    </row>
    <row r="8" spans="1:13" ht="18.75" x14ac:dyDescent="0.3">
      <c r="A8" s="133" t="s">
        <v>196</v>
      </c>
      <c r="B8" s="90" t="s">
        <v>197</v>
      </c>
      <c r="C8" s="74" t="s">
        <v>202</v>
      </c>
      <c r="D8" s="136">
        <v>1417500</v>
      </c>
      <c r="E8" s="93"/>
      <c r="F8" s="352"/>
      <c r="G8" s="135">
        <f>G7+D8</f>
        <v>8032500</v>
      </c>
      <c r="H8" s="130"/>
      <c r="I8" s="233">
        <v>3</v>
      </c>
      <c r="J8" s="56">
        <v>3496500</v>
      </c>
      <c r="K8" s="56">
        <v>2857428.43</v>
      </c>
      <c r="L8" s="56">
        <f t="shared" si="0"/>
        <v>639071.56999999983</v>
      </c>
      <c r="M8" s="2" t="s">
        <v>733</v>
      </c>
    </row>
    <row r="9" spans="1:13" ht="18.75" x14ac:dyDescent="0.3">
      <c r="A9" s="133" t="s">
        <v>221</v>
      </c>
      <c r="B9" s="90" t="s">
        <v>273</v>
      </c>
      <c r="C9" s="49" t="s">
        <v>255</v>
      </c>
      <c r="D9" s="136"/>
      <c r="E9" s="93">
        <v>2615550</v>
      </c>
      <c r="F9" s="352"/>
      <c r="G9" s="135">
        <f t="shared" ref="G9:G14" si="1">G8-E9</f>
        <v>5416950</v>
      </c>
      <c r="H9" s="130"/>
      <c r="I9" s="233">
        <v>4</v>
      </c>
      <c r="J9" s="56">
        <v>1732500</v>
      </c>
      <c r="K9" s="56">
        <v>1732500</v>
      </c>
      <c r="L9" s="56">
        <f t="shared" si="0"/>
        <v>0</v>
      </c>
      <c r="M9" s="2" t="s">
        <v>735</v>
      </c>
    </row>
    <row r="10" spans="1:13" ht="18.75" x14ac:dyDescent="0.3">
      <c r="A10" s="133" t="s">
        <v>392</v>
      </c>
      <c r="B10" s="90" t="s">
        <v>572</v>
      </c>
      <c r="C10" s="49" t="s">
        <v>387</v>
      </c>
      <c r="D10" s="136"/>
      <c r="E10" s="93">
        <v>1275750</v>
      </c>
      <c r="F10" s="352"/>
      <c r="G10" s="135">
        <f t="shared" si="1"/>
        <v>4141200</v>
      </c>
      <c r="H10" s="130"/>
      <c r="I10" s="233">
        <v>5</v>
      </c>
      <c r="J10" s="56">
        <v>1757700</v>
      </c>
      <c r="K10" s="56">
        <v>1464750</v>
      </c>
      <c r="L10" s="56">
        <f t="shared" si="0"/>
        <v>292950</v>
      </c>
      <c r="M10" s="2" t="s">
        <v>733</v>
      </c>
    </row>
    <row r="11" spans="1:13" ht="18.75" x14ac:dyDescent="0.3">
      <c r="A11" s="133" t="s">
        <v>658</v>
      </c>
      <c r="B11" s="90" t="s">
        <v>700</v>
      </c>
      <c r="C11" s="49" t="s">
        <v>656</v>
      </c>
      <c r="D11" s="136"/>
      <c r="E11" s="93">
        <v>1240185.03</v>
      </c>
      <c r="F11" s="352"/>
      <c r="G11" s="232">
        <f t="shared" si="1"/>
        <v>2901014.9699999997</v>
      </c>
      <c r="H11" s="130"/>
      <c r="I11" s="233">
        <v>6</v>
      </c>
      <c r="J11" s="56">
        <v>2381400</v>
      </c>
      <c r="K11" s="56">
        <v>1890000</v>
      </c>
      <c r="L11" s="56">
        <f t="shared" si="0"/>
        <v>491400</v>
      </c>
      <c r="M11" s="2" t="s">
        <v>733</v>
      </c>
    </row>
    <row r="12" spans="1:13" ht="18.75" x14ac:dyDescent="0.3">
      <c r="A12" s="133" t="s">
        <v>901</v>
      </c>
      <c r="B12" s="97" t="s">
        <v>922</v>
      </c>
      <c r="C12" s="49" t="s">
        <v>892</v>
      </c>
      <c r="D12" s="136"/>
      <c r="E12" s="93">
        <v>1228500</v>
      </c>
      <c r="F12" s="352"/>
      <c r="G12" s="232">
        <f t="shared" si="1"/>
        <v>1672514.9699999997</v>
      </c>
      <c r="H12" s="130" t="s">
        <v>1126</v>
      </c>
      <c r="I12" s="233">
        <v>7</v>
      </c>
      <c r="J12" s="56">
        <v>1701000</v>
      </c>
      <c r="K12" s="56">
        <v>1288124.4099999999</v>
      </c>
      <c r="L12" s="56">
        <f t="shared" si="0"/>
        <v>412875.59000000008</v>
      </c>
      <c r="M12" s="2" t="s">
        <v>733</v>
      </c>
    </row>
    <row r="13" spans="1:13" ht="18.75" x14ac:dyDescent="0.3">
      <c r="A13" s="133" t="s">
        <v>1087</v>
      </c>
      <c r="B13" s="97" t="s">
        <v>1088</v>
      </c>
      <c r="C13" s="49" t="s">
        <v>1064</v>
      </c>
      <c r="D13" s="136"/>
      <c r="E13" s="93">
        <v>1228500</v>
      </c>
      <c r="F13" s="352"/>
      <c r="G13" s="232">
        <f t="shared" si="1"/>
        <v>444014.96999999974</v>
      </c>
      <c r="H13" s="130" t="s">
        <v>1127</v>
      </c>
      <c r="I13" s="233"/>
      <c r="J13" s="56"/>
      <c r="K13" s="56"/>
      <c r="L13" s="56"/>
      <c r="M13" s="2"/>
    </row>
    <row r="14" spans="1:13" ht="18.75" x14ac:dyDescent="0.3">
      <c r="A14" s="133"/>
      <c r="B14" s="97" t="s">
        <v>1089</v>
      </c>
      <c r="C14" s="49" t="s">
        <v>2292</v>
      </c>
      <c r="D14" s="136"/>
      <c r="E14" s="93">
        <v>43838.720000000001</v>
      </c>
      <c r="F14" s="352"/>
      <c r="G14" s="232">
        <f t="shared" si="1"/>
        <v>400176.24999999977</v>
      </c>
      <c r="H14" s="130"/>
      <c r="I14" s="233"/>
      <c r="J14" s="56"/>
      <c r="K14" s="56"/>
      <c r="L14" s="56"/>
      <c r="M14" s="2"/>
    </row>
    <row r="15" spans="1:13" ht="18.75" x14ac:dyDescent="0.3">
      <c r="A15" s="133" t="s">
        <v>1315</v>
      </c>
      <c r="B15" s="97" t="s">
        <v>1316</v>
      </c>
      <c r="C15" s="49" t="s">
        <v>1317</v>
      </c>
      <c r="D15" s="136">
        <v>6255000</v>
      </c>
      <c r="E15" s="93"/>
      <c r="F15" s="352"/>
      <c r="G15" s="232">
        <f>G14+D15</f>
        <v>6655176.25</v>
      </c>
      <c r="H15" s="130"/>
      <c r="I15" s="233"/>
      <c r="J15" s="56"/>
      <c r="K15" s="56"/>
      <c r="L15" s="56"/>
      <c r="M15" s="2"/>
    </row>
    <row r="16" spans="1:13" ht="18.75" x14ac:dyDescent="0.3">
      <c r="A16" s="133" t="s">
        <v>1320</v>
      </c>
      <c r="B16" s="97" t="s">
        <v>1319</v>
      </c>
      <c r="C16" s="49" t="s">
        <v>1321</v>
      </c>
      <c r="D16" s="136">
        <v>736000</v>
      </c>
      <c r="E16" s="93"/>
      <c r="F16" s="352"/>
      <c r="G16" s="232">
        <f>G15+D16</f>
        <v>7391176.25</v>
      </c>
      <c r="H16" s="130"/>
      <c r="I16" s="233"/>
      <c r="J16" s="56"/>
      <c r="K16" s="56"/>
      <c r="L16" s="56"/>
      <c r="M16" s="2"/>
    </row>
    <row r="17" spans="1:13" ht="18.75" x14ac:dyDescent="0.3">
      <c r="A17" s="133" t="s">
        <v>1430</v>
      </c>
      <c r="B17" s="97" t="s">
        <v>1434</v>
      </c>
      <c r="C17" s="49" t="s">
        <v>1437</v>
      </c>
      <c r="D17" s="136"/>
      <c r="E17" s="93">
        <v>2409750</v>
      </c>
      <c r="F17" s="352"/>
      <c r="G17" s="232">
        <f>G16-E17</f>
        <v>4981426.25</v>
      </c>
      <c r="H17" s="130"/>
      <c r="I17" s="233"/>
      <c r="J17" s="56"/>
      <c r="K17" s="56"/>
      <c r="L17" s="56"/>
      <c r="M17" s="2"/>
    </row>
    <row r="18" spans="1:13" ht="18.75" x14ac:dyDescent="0.3">
      <c r="A18" s="133" t="s">
        <v>1606</v>
      </c>
      <c r="B18" s="90" t="s">
        <v>1635</v>
      </c>
      <c r="C18" s="49" t="s">
        <v>1631</v>
      </c>
      <c r="D18" s="136"/>
      <c r="E18" s="93">
        <v>1197000</v>
      </c>
      <c r="F18" s="352"/>
      <c r="G18" s="232">
        <f t="shared" ref="G18:G24" si="2">G17-E18</f>
        <v>3784426.25</v>
      </c>
      <c r="H18" s="130"/>
      <c r="I18" s="233"/>
      <c r="J18" s="56"/>
      <c r="K18" s="56"/>
      <c r="L18" s="56"/>
      <c r="M18" s="2"/>
    </row>
    <row r="19" spans="1:13" ht="18.75" x14ac:dyDescent="0.3">
      <c r="A19" s="133" t="s">
        <v>1592</v>
      </c>
      <c r="B19" s="90" t="s">
        <v>1593</v>
      </c>
      <c r="C19" s="49" t="s">
        <v>2119</v>
      </c>
      <c r="D19" s="136"/>
      <c r="E19" s="93">
        <v>8129</v>
      </c>
      <c r="F19" s="352"/>
      <c r="G19" s="232">
        <f t="shared" si="2"/>
        <v>3776297.25</v>
      </c>
      <c r="H19" s="130"/>
      <c r="I19" s="233"/>
      <c r="J19" s="56"/>
      <c r="K19" s="56"/>
      <c r="L19" s="56"/>
      <c r="M19" s="2"/>
    </row>
    <row r="20" spans="1:13" ht="18.75" x14ac:dyDescent="0.3">
      <c r="A20" s="133" t="s">
        <v>1726</v>
      </c>
      <c r="B20" s="90" t="s">
        <v>2125</v>
      </c>
      <c r="C20" s="49" t="s">
        <v>2124</v>
      </c>
      <c r="D20" s="136"/>
      <c r="E20" s="93">
        <v>9000</v>
      </c>
      <c r="F20" s="352"/>
      <c r="G20" s="232">
        <f t="shared" si="2"/>
        <v>3767297.25</v>
      </c>
      <c r="H20" s="130"/>
      <c r="I20" s="233"/>
      <c r="J20" s="56"/>
      <c r="K20" s="56"/>
      <c r="L20" s="56"/>
      <c r="M20" s="2"/>
    </row>
    <row r="21" spans="1:13" ht="18.75" x14ac:dyDescent="0.3">
      <c r="A21" s="133" t="s">
        <v>1950</v>
      </c>
      <c r="B21" s="90" t="s">
        <v>1986</v>
      </c>
      <c r="C21" s="49" t="s">
        <v>1983</v>
      </c>
      <c r="D21" s="136"/>
      <c r="E21" s="93">
        <v>1182300</v>
      </c>
      <c r="F21" s="352"/>
      <c r="G21" s="232">
        <f t="shared" si="2"/>
        <v>2584997.25</v>
      </c>
      <c r="H21" s="130"/>
      <c r="I21" s="233"/>
      <c r="J21" s="56"/>
      <c r="K21" s="56"/>
      <c r="L21" s="56"/>
      <c r="M21" s="2"/>
    </row>
    <row r="22" spans="1:13" ht="18.75" x14ac:dyDescent="0.3">
      <c r="A22" s="133"/>
      <c r="B22" s="90" t="s">
        <v>2343</v>
      </c>
      <c r="C22" s="49" t="s">
        <v>2344</v>
      </c>
      <c r="D22" s="362"/>
      <c r="E22" s="149">
        <v>15750</v>
      </c>
      <c r="F22" s="352"/>
      <c r="G22" s="232">
        <f t="shared" si="2"/>
        <v>2569247.25</v>
      </c>
      <c r="H22" s="130"/>
      <c r="I22" s="233"/>
      <c r="J22" s="56"/>
      <c r="K22" s="56"/>
      <c r="L22" s="56"/>
      <c r="M22" s="2"/>
    </row>
    <row r="23" spans="1:13" ht="18.75" x14ac:dyDescent="0.3">
      <c r="A23" s="89" t="s">
        <v>2058</v>
      </c>
      <c r="B23" s="97" t="s">
        <v>2062</v>
      </c>
      <c r="C23" s="76" t="s">
        <v>2063</v>
      </c>
      <c r="D23" s="136"/>
      <c r="E23" s="149">
        <v>21483.599999999999</v>
      </c>
      <c r="F23" s="352"/>
      <c r="G23" s="232">
        <f t="shared" si="2"/>
        <v>2547763.65</v>
      </c>
      <c r="H23" s="130"/>
      <c r="I23" s="233"/>
      <c r="J23" s="56"/>
      <c r="K23" s="56"/>
      <c r="L23" s="56"/>
      <c r="M23" s="2"/>
    </row>
    <row r="24" spans="1:13" ht="18.75" x14ac:dyDescent="0.3">
      <c r="A24" s="133" t="s">
        <v>2221</v>
      </c>
      <c r="B24" s="90" t="s">
        <v>2259</v>
      </c>
      <c r="C24" s="49" t="s">
        <v>2258</v>
      </c>
      <c r="D24" s="136"/>
      <c r="E24" s="93">
        <v>1165500</v>
      </c>
      <c r="F24" s="200"/>
      <c r="G24" s="232">
        <f t="shared" si="2"/>
        <v>1382263.65</v>
      </c>
      <c r="H24" s="130"/>
      <c r="I24" s="233"/>
      <c r="J24" s="56" t="s">
        <v>2661</v>
      </c>
      <c r="K24" s="56"/>
      <c r="L24" s="56"/>
      <c r="M24" s="2"/>
    </row>
    <row r="25" spans="1:13" ht="18.75" x14ac:dyDescent="0.3">
      <c r="A25" s="133" t="s">
        <v>2517</v>
      </c>
      <c r="B25" s="90" t="s">
        <v>2532</v>
      </c>
      <c r="C25" s="49" t="s">
        <v>2531</v>
      </c>
      <c r="D25" s="136"/>
      <c r="E25" s="93">
        <v>18000</v>
      </c>
      <c r="F25" s="200"/>
      <c r="G25" s="232">
        <f>G24-E25-F25</f>
        <v>1364263.65</v>
      </c>
      <c r="H25" s="130"/>
      <c r="I25" s="233"/>
      <c r="J25" s="56" t="s">
        <v>2662</v>
      </c>
      <c r="K25" s="56"/>
      <c r="L25" s="56"/>
      <c r="M25" s="2"/>
    </row>
    <row r="26" spans="1:13" ht="18.75" x14ac:dyDescent="0.3">
      <c r="A26" s="133" t="s">
        <v>2606</v>
      </c>
      <c r="B26" s="133" t="s">
        <v>2605</v>
      </c>
      <c r="C26" s="49" t="s">
        <v>2607</v>
      </c>
      <c r="D26" s="136"/>
      <c r="E26" s="93">
        <v>9000</v>
      </c>
      <c r="F26" s="200"/>
      <c r="G26" s="232">
        <f>G25-E26-F26</f>
        <v>1355263.65</v>
      </c>
      <c r="H26" s="130"/>
      <c r="I26" s="233"/>
      <c r="J26" s="56"/>
      <c r="K26" s="56"/>
      <c r="L26" s="56"/>
      <c r="M26" s="2"/>
    </row>
    <row r="27" spans="1:13" ht="18.75" x14ac:dyDescent="0.3">
      <c r="A27" s="133" t="s">
        <v>2741</v>
      </c>
      <c r="B27" s="426" t="s">
        <v>2787</v>
      </c>
      <c r="C27" s="49" t="s">
        <v>2644</v>
      </c>
      <c r="D27" s="136"/>
      <c r="E27" s="93">
        <v>1165500</v>
      </c>
      <c r="F27" s="200"/>
      <c r="G27" s="232">
        <f>G26-E27-F27</f>
        <v>189763.64999999991</v>
      </c>
      <c r="H27" s="130"/>
      <c r="I27" s="233"/>
      <c r="J27" s="56"/>
      <c r="K27" s="56"/>
      <c r="L27" s="56"/>
      <c r="M27" s="2"/>
    </row>
    <row r="28" spans="1:13" ht="18.75" x14ac:dyDescent="0.3">
      <c r="A28" s="133" t="s">
        <v>2807</v>
      </c>
      <c r="B28" s="426" t="s">
        <v>2861</v>
      </c>
      <c r="C28" s="49" t="s">
        <v>2860</v>
      </c>
      <c r="D28" s="136"/>
      <c r="E28" s="93">
        <v>36000</v>
      </c>
      <c r="F28" s="200"/>
      <c r="G28" s="232">
        <f>G27-E28-F28</f>
        <v>153763.64999999991</v>
      </c>
      <c r="H28" s="130">
        <v>32100</v>
      </c>
      <c r="I28" s="233"/>
      <c r="J28" s="56" t="e">
        <f>#REF!-G28</f>
        <v>#REF!</v>
      </c>
      <c r="K28" s="56"/>
      <c r="L28" s="56"/>
      <c r="M28" s="2"/>
    </row>
    <row r="29" spans="1:13" ht="18.75" x14ac:dyDescent="0.3">
      <c r="A29" s="133"/>
      <c r="B29" s="426"/>
      <c r="C29" s="49"/>
      <c r="D29" s="437">
        <v>-153763.65</v>
      </c>
      <c r="E29" s="93"/>
      <c r="F29" s="200"/>
      <c r="G29" s="438">
        <f>G28+D29</f>
        <v>0</v>
      </c>
      <c r="H29" s="130"/>
      <c r="I29" s="233"/>
      <c r="J29" s="56"/>
      <c r="K29" s="56"/>
      <c r="L29" s="56"/>
      <c r="M29" s="2"/>
    </row>
    <row r="30" spans="1:13" ht="18.75" x14ac:dyDescent="0.3">
      <c r="A30" s="133"/>
      <c r="B30" s="90"/>
      <c r="C30" s="49"/>
      <c r="D30" s="136"/>
      <c r="E30" s="93"/>
      <c r="F30" s="352"/>
      <c r="G30" s="232"/>
      <c r="H30" s="130"/>
      <c r="I30" s="233"/>
      <c r="J30" s="56"/>
      <c r="K30" s="56"/>
      <c r="L30" s="56"/>
      <c r="M30" s="2"/>
    </row>
    <row r="31" spans="1:13" ht="18.75" x14ac:dyDescent="0.3">
      <c r="A31" s="133" t="s">
        <v>198</v>
      </c>
      <c r="B31" s="90" t="s">
        <v>199</v>
      </c>
      <c r="C31" s="74" t="s">
        <v>158</v>
      </c>
      <c r="D31" s="134">
        <v>699300</v>
      </c>
      <c r="E31" s="136"/>
      <c r="F31" s="352"/>
      <c r="G31" s="92">
        <f>D31</f>
        <v>699300</v>
      </c>
      <c r="H31" s="130" t="s">
        <v>171</v>
      </c>
      <c r="I31" s="233">
        <v>9</v>
      </c>
      <c r="J31" s="56">
        <v>1399932</v>
      </c>
      <c r="K31" s="56">
        <v>582750</v>
      </c>
      <c r="L31" s="56">
        <f t="shared" si="0"/>
        <v>817182</v>
      </c>
      <c r="M31" s="2" t="s">
        <v>927</v>
      </c>
    </row>
    <row r="32" spans="1:13" ht="18.75" x14ac:dyDescent="0.3">
      <c r="A32" s="133" t="s">
        <v>254</v>
      </c>
      <c r="B32" s="90" t="s">
        <v>268</v>
      </c>
      <c r="C32" s="49" t="s">
        <v>255</v>
      </c>
      <c r="D32" s="136"/>
      <c r="E32" s="148">
        <v>233100</v>
      </c>
      <c r="F32" s="200"/>
      <c r="G32" s="149">
        <f>G31-E32</f>
        <v>466200</v>
      </c>
      <c r="H32" s="130"/>
      <c r="I32" s="233">
        <v>10</v>
      </c>
      <c r="J32" s="56">
        <v>1955000</v>
      </c>
      <c r="K32" s="56">
        <v>976933.33</v>
      </c>
      <c r="L32" s="56">
        <f t="shared" si="0"/>
        <v>978066.67</v>
      </c>
      <c r="M32" s="2" t="s">
        <v>734</v>
      </c>
    </row>
    <row r="33" spans="1:15" ht="18.75" x14ac:dyDescent="0.3">
      <c r="A33" s="133" t="s">
        <v>392</v>
      </c>
      <c r="B33" s="90" t="s">
        <v>573</v>
      </c>
      <c r="C33" s="49" t="s">
        <v>387</v>
      </c>
      <c r="D33" s="136"/>
      <c r="E33" s="148">
        <v>116550</v>
      </c>
      <c r="F33" s="200"/>
      <c r="G33" s="149">
        <f>G32-E33</f>
        <v>349650</v>
      </c>
      <c r="H33" s="130"/>
      <c r="I33" s="233">
        <v>11</v>
      </c>
      <c r="J33" s="56">
        <v>11252690</v>
      </c>
      <c r="K33" s="247">
        <v>9681570.4000000004</v>
      </c>
      <c r="L33" s="56">
        <f t="shared" si="0"/>
        <v>1571119.5999999996</v>
      </c>
      <c r="M33" s="2" t="s">
        <v>733</v>
      </c>
    </row>
    <row r="34" spans="1:15" ht="18.75" x14ac:dyDescent="0.3">
      <c r="A34" s="133" t="s">
        <v>658</v>
      </c>
      <c r="B34" s="90" t="s">
        <v>696</v>
      </c>
      <c r="C34" s="49" t="s">
        <v>656</v>
      </c>
      <c r="D34" s="136"/>
      <c r="E34" s="148">
        <v>116550</v>
      </c>
      <c r="F34" s="200"/>
      <c r="G34" s="149">
        <f>G33-E34</f>
        <v>233100</v>
      </c>
      <c r="H34" s="130"/>
      <c r="I34" s="233"/>
      <c r="J34" s="56"/>
      <c r="K34" s="234"/>
      <c r="L34" s="56"/>
      <c r="M34" s="2"/>
    </row>
    <row r="35" spans="1:15" ht="18.75" x14ac:dyDescent="0.3">
      <c r="A35" s="133" t="s">
        <v>901</v>
      </c>
      <c r="B35" s="90" t="s">
        <v>902</v>
      </c>
      <c r="C35" s="74" t="s">
        <v>903</v>
      </c>
      <c r="D35" s="136">
        <v>699300</v>
      </c>
      <c r="E35" s="148"/>
      <c r="F35" s="200"/>
      <c r="G35" s="149">
        <f>G34+D35</f>
        <v>932400</v>
      </c>
      <c r="H35" s="130" t="s">
        <v>1287</v>
      </c>
      <c r="I35" s="233"/>
      <c r="J35" s="235" t="e">
        <f>SUM(J2:J34)</f>
        <v>#REF!</v>
      </c>
      <c r="K35" s="235">
        <f>SUM(K2:K34)</f>
        <v>29186651.119999997</v>
      </c>
      <c r="L35" s="235">
        <f>SUM(L2:L34)</f>
        <v>10354570.879999999</v>
      </c>
      <c r="M35" s="2"/>
    </row>
    <row r="36" spans="1:15" ht="18.75" x14ac:dyDescent="0.3">
      <c r="A36" s="133"/>
      <c r="B36" s="90" t="s">
        <v>917</v>
      </c>
      <c r="C36" s="49" t="s">
        <v>892</v>
      </c>
      <c r="D36" s="136"/>
      <c r="E36" s="148">
        <v>116550</v>
      </c>
      <c r="F36" s="200"/>
      <c r="G36" s="149">
        <f t="shared" ref="G36:G41" si="3">G35-E36</f>
        <v>815850</v>
      </c>
      <c r="H36" s="130"/>
      <c r="I36" s="233"/>
      <c r="J36" s="56"/>
      <c r="K36" s="234"/>
      <c r="L36" s="56"/>
      <c r="M36" s="2"/>
    </row>
    <row r="37" spans="1:15" ht="18.75" x14ac:dyDescent="0.3">
      <c r="A37" s="133" t="s">
        <v>1078</v>
      </c>
      <c r="B37" s="90" t="s">
        <v>1079</v>
      </c>
      <c r="C37" s="49" t="s">
        <v>1064</v>
      </c>
      <c r="D37" s="136"/>
      <c r="E37" s="148">
        <v>116550</v>
      </c>
      <c r="F37" s="200"/>
      <c r="G37" s="149">
        <f t="shared" si="3"/>
        <v>699300</v>
      </c>
      <c r="H37" s="130"/>
      <c r="I37" s="233"/>
      <c r="J37" s="56"/>
      <c r="K37" s="234"/>
      <c r="L37" s="56"/>
      <c r="M37" s="2"/>
    </row>
    <row r="38" spans="1:15" ht="18.75" x14ac:dyDescent="0.3">
      <c r="A38" s="133" t="s">
        <v>1202</v>
      </c>
      <c r="B38" s="90" t="s">
        <v>1240</v>
      </c>
      <c r="C38" s="49" t="s">
        <v>1235</v>
      </c>
      <c r="D38" s="136"/>
      <c r="E38" s="148">
        <v>116550</v>
      </c>
      <c r="F38" s="200"/>
      <c r="G38" s="149">
        <f t="shared" si="3"/>
        <v>582750</v>
      </c>
      <c r="H38" s="130"/>
      <c r="I38" s="233"/>
      <c r="J38" s="56"/>
      <c r="K38" s="234"/>
      <c r="L38" s="56"/>
      <c r="M38" s="2"/>
    </row>
    <row r="39" spans="1:15" ht="18.75" x14ac:dyDescent="0.3">
      <c r="A39" s="133" t="s">
        <v>1408</v>
      </c>
      <c r="B39" s="90" t="s">
        <v>1423</v>
      </c>
      <c r="C39" s="49" t="s">
        <v>1420</v>
      </c>
      <c r="D39" s="136"/>
      <c r="E39" s="148">
        <v>116550</v>
      </c>
      <c r="F39" s="200"/>
      <c r="G39" s="149">
        <f t="shared" si="3"/>
        <v>466200</v>
      </c>
      <c r="H39" s="130"/>
      <c r="I39" s="233"/>
      <c r="J39" s="56"/>
      <c r="K39" s="234"/>
      <c r="L39" s="56"/>
      <c r="M39" s="2"/>
    </row>
    <row r="40" spans="1:15" ht="18.75" x14ac:dyDescent="0.3">
      <c r="A40" s="133" t="s">
        <v>1606</v>
      </c>
      <c r="B40" s="90" t="s">
        <v>1632</v>
      </c>
      <c r="C40" s="49" t="s">
        <v>1631</v>
      </c>
      <c r="D40" s="136"/>
      <c r="E40" s="148">
        <v>116550</v>
      </c>
      <c r="F40" s="200"/>
      <c r="G40" s="149">
        <f t="shared" si="3"/>
        <v>349650</v>
      </c>
      <c r="H40" s="130"/>
      <c r="I40" s="233"/>
      <c r="J40" s="56"/>
      <c r="K40" s="234"/>
      <c r="L40" s="56"/>
      <c r="M40" s="2"/>
    </row>
    <row r="41" spans="1:15" ht="18.75" x14ac:dyDescent="0.3">
      <c r="A41" s="133" t="s">
        <v>1950</v>
      </c>
      <c r="B41" s="90" t="s">
        <v>1980</v>
      </c>
      <c r="C41" s="49" t="s">
        <v>1978</v>
      </c>
      <c r="D41" s="136"/>
      <c r="E41" s="148">
        <v>116550</v>
      </c>
      <c r="F41" s="200"/>
      <c r="G41" s="149">
        <f t="shared" si="3"/>
        <v>233100</v>
      </c>
      <c r="H41" s="130"/>
      <c r="I41" s="233"/>
      <c r="J41" s="56"/>
      <c r="K41" s="234"/>
      <c r="L41" s="56"/>
      <c r="M41" s="2"/>
    </row>
    <row r="42" spans="1:15" ht="18.75" x14ac:dyDescent="0.3">
      <c r="A42" s="133" t="s">
        <v>2251</v>
      </c>
      <c r="B42" s="90" t="s">
        <v>2253</v>
      </c>
      <c r="C42" s="49" t="s">
        <v>2070</v>
      </c>
      <c r="D42" s="136"/>
      <c r="E42" s="148">
        <v>116550</v>
      </c>
      <c r="F42" s="354"/>
      <c r="G42" s="149">
        <f>G41-E42-F42</f>
        <v>116550</v>
      </c>
      <c r="H42" s="130"/>
      <c r="I42" s="233"/>
      <c r="J42" s="56"/>
      <c r="K42" s="234"/>
      <c r="L42" s="56"/>
      <c r="M42" s="2"/>
    </row>
    <row r="43" spans="1:15" ht="18.75" x14ac:dyDescent="0.3">
      <c r="A43" s="133" t="s">
        <v>2741</v>
      </c>
      <c r="B43" s="90" t="s">
        <v>2781</v>
      </c>
      <c r="C43" s="49" t="s">
        <v>2071</v>
      </c>
      <c r="D43" s="136"/>
      <c r="E43" s="148">
        <v>116550</v>
      </c>
      <c r="F43" s="354"/>
      <c r="G43" s="7">
        <f>G42-E43-F43</f>
        <v>0</v>
      </c>
      <c r="H43" s="130"/>
      <c r="I43" s="233"/>
      <c r="J43" s="56"/>
      <c r="K43" s="234"/>
      <c r="L43" s="56"/>
      <c r="M43" s="2"/>
    </row>
    <row r="44" spans="1:15" ht="18.75" x14ac:dyDescent="0.3">
      <c r="A44" s="133"/>
      <c r="B44" s="90"/>
      <c r="C44" s="49"/>
      <c r="D44" s="136"/>
      <c r="E44" s="148"/>
      <c r="F44" s="200"/>
      <c r="G44" s="149"/>
      <c r="H44" s="130"/>
      <c r="I44" s="233"/>
      <c r="J44" s="56"/>
      <c r="K44" s="234"/>
      <c r="L44" s="56"/>
      <c r="M44" s="2"/>
    </row>
    <row r="45" spans="1:15" x14ac:dyDescent="0.3">
      <c r="A45" s="133" t="s">
        <v>196</v>
      </c>
      <c r="B45" s="90" t="s">
        <v>203</v>
      </c>
      <c r="C45" s="74" t="s">
        <v>204</v>
      </c>
      <c r="D45" s="136">
        <v>2916000</v>
      </c>
      <c r="E45" s="134"/>
      <c r="F45" s="351"/>
      <c r="G45" s="135">
        <f>D45</f>
        <v>2916000</v>
      </c>
      <c r="H45" s="130" t="s">
        <v>131</v>
      </c>
      <c r="I45" s="193"/>
      <c r="J45" s="235"/>
      <c r="K45" s="235"/>
      <c r="L45" s="235"/>
      <c r="M45" s="193"/>
      <c r="O45" s="137"/>
    </row>
    <row r="46" spans="1:15" x14ac:dyDescent="0.3">
      <c r="A46" s="89" t="s">
        <v>392</v>
      </c>
      <c r="B46" s="90" t="s">
        <v>567</v>
      </c>
      <c r="C46" s="49" t="s">
        <v>568</v>
      </c>
      <c r="D46" s="134"/>
      <c r="E46" s="265">
        <v>452593.52</v>
      </c>
      <c r="F46" s="351"/>
      <c r="G46" s="149">
        <f>G45-E46</f>
        <v>2463406.48</v>
      </c>
      <c r="H46" s="94"/>
      <c r="O46" s="137"/>
    </row>
    <row r="47" spans="1:15" x14ac:dyDescent="0.3">
      <c r="A47" s="89" t="s">
        <v>591</v>
      </c>
      <c r="B47" s="90" t="s">
        <v>609</v>
      </c>
      <c r="C47" s="49" t="s">
        <v>610</v>
      </c>
      <c r="D47" s="134"/>
      <c r="E47" s="265">
        <v>4500</v>
      </c>
      <c r="F47" s="351"/>
      <c r="G47" s="149">
        <f>G46-E47</f>
        <v>2458906.48</v>
      </c>
      <c r="H47" s="150"/>
      <c r="J47" s="132">
        <v>630000</v>
      </c>
      <c r="O47" s="137"/>
    </row>
    <row r="48" spans="1:15" x14ac:dyDescent="0.3">
      <c r="A48" s="89" t="s">
        <v>650</v>
      </c>
      <c r="B48" s="97" t="s">
        <v>687</v>
      </c>
      <c r="C48" s="49" t="s">
        <v>688</v>
      </c>
      <c r="D48" s="134"/>
      <c r="E48" s="265">
        <v>945870.88</v>
      </c>
      <c r="F48" s="351"/>
      <c r="G48" s="149">
        <f>G47-E48</f>
        <v>1513035.6</v>
      </c>
      <c r="H48" s="150"/>
      <c r="J48" s="132">
        <v>243000</v>
      </c>
      <c r="O48" s="137"/>
    </row>
    <row r="49" spans="1:15" x14ac:dyDescent="0.3">
      <c r="A49" s="89" t="s">
        <v>793</v>
      </c>
      <c r="B49" s="97" t="s">
        <v>794</v>
      </c>
      <c r="C49" s="74" t="s">
        <v>795</v>
      </c>
      <c r="D49" s="136">
        <v>2916000</v>
      </c>
      <c r="E49" s="265"/>
      <c r="F49" s="351"/>
      <c r="G49" s="149">
        <f>G48+D49</f>
        <v>4429035.5999999996</v>
      </c>
      <c r="H49" s="150"/>
      <c r="J49" s="132">
        <v>81000</v>
      </c>
      <c r="O49" s="137"/>
    </row>
    <row r="50" spans="1:15" x14ac:dyDescent="0.3">
      <c r="A50" s="89" t="s">
        <v>885</v>
      </c>
      <c r="B50" s="97" t="s">
        <v>894</v>
      </c>
      <c r="C50" s="76" t="s">
        <v>656</v>
      </c>
      <c r="D50" s="136"/>
      <c r="E50" s="149">
        <v>949645.12</v>
      </c>
      <c r="F50" s="351"/>
      <c r="G50" s="149">
        <f t="shared" ref="G50:G56" si="4">G49-E50</f>
        <v>3479390.4799999995</v>
      </c>
      <c r="H50" s="150"/>
      <c r="J50" s="132">
        <f>SUM(J47:J49)</f>
        <v>954000</v>
      </c>
      <c r="O50" s="137"/>
    </row>
    <row r="51" spans="1:15" ht="18.75" x14ac:dyDescent="0.3">
      <c r="A51" s="89"/>
      <c r="B51" s="97"/>
      <c r="C51" s="76" t="s">
        <v>1470</v>
      </c>
      <c r="D51" s="136"/>
      <c r="E51" s="7">
        <v>-1000</v>
      </c>
      <c r="F51" s="351"/>
      <c r="G51" s="149">
        <f t="shared" si="4"/>
        <v>3480390.4799999995</v>
      </c>
      <c r="H51" s="269" t="s">
        <v>1471</v>
      </c>
      <c r="O51" s="137"/>
    </row>
    <row r="52" spans="1:15" x14ac:dyDescent="0.3">
      <c r="A52" s="89" t="s">
        <v>1053</v>
      </c>
      <c r="B52" s="97" t="s">
        <v>1054</v>
      </c>
      <c r="C52" s="76" t="s">
        <v>892</v>
      </c>
      <c r="D52" s="136"/>
      <c r="E52" s="149">
        <v>708126</v>
      </c>
      <c r="F52" s="351"/>
      <c r="G52" s="149">
        <f t="shared" si="4"/>
        <v>2772264.4799999995</v>
      </c>
      <c r="H52" s="150"/>
      <c r="O52" s="137"/>
    </row>
    <row r="53" spans="1:15" x14ac:dyDescent="0.3">
      <c r="A53" s="89" t="s">
        <v>1128</v>
      </c>
      <c r="B53" s="97" t="s">
        <v>1124</v>
      </c>
      <c r="C53" s="76" t="s">
        <v>1149</v>
      </c>
      <c r="D53" s="136"/>
      <c r="E53" s="149">
        <v>66447</v>
      </c>
      <c r="F53" s="351"/>
      <c r="G53" s="149">
        <f t="shared" si="4"/>
        <v>2705817.4799999995</v>
      </c>
      <c r="H53" s="150"/>
      <c r="O53" s="137"/>
    </row>
    <row r="54" spans="1:15" x14ac:dyDescent="0.3">
      <c r="A54" s="89" t="s">
        <v>1290</v>
      </c>
      <c r="B54" s="97" t="s">
        <v>1291</v>
      </c>
      <c r="C54" s="76" t="s">
        <v>1292</v>
      </c>
      <c r="D54" s="136"/>
      <c r="E54" s="265">
        <v>664838.72</v>
      </c>
      <c r="F54" s="351"/>
      <c r="G54" s="149">
        <f t="shared" si="4"/>
        <v>2040978.7599999995</v>
      </c>
      <c r="H54" s="150"/>
      <c r="J54" s="78">
        <f>243000-234000</f>
        <v>9000</v>
      </c>
      <c r="O54" s="137"/>
    </row>
    <row r="55" spans="1:15" x14ac:dyDescent="0.3">
      <c r="A55" s="89" t="s">
        <v>1173</v>
      </c>
      <c r="B55" s="97" t="s">
        <v>1231</v>
      </c>
      <c r="C55" s="76" t="s">
        <v>1256</v>
      </c>
      <c r="D55" s="136"/>
      <c r="E55" s="265">
        <v>243000</v>
      </c>
      <c r="F55" s="351"/>
      <c r="G55" s="149">
        <f t="shared" si="4"/>
        <v>1797978.7599999995</v>
      </c>
      <c r="H55" s="150"/>
      <c r="I55" s="78" t="s">
        <v>1125</v>
      </c>
      <c r="O55" s="137"/>
    </row>
    <row r="56" spans="1:15" x14ac:dyDescent="0.3">
      <c r="A56" s="89" t="s">
        <v>1202</v>
      </c>
      <c r="B56" s="97" t="s">
        <v>1239</v>
      </c>
      <c r="C56" s="76" t="s">
        <v>2117</v>
      </c>
      <c r="D56" s="136"/>
      <c r="E56" s="265">
        <v>81000</v>
      </c>
      <c r="F56" s="351"/>
      <c r="G56" s="149">
        <f t="shared" si="4"/>
        <v>1716978.7599999995</v>
      </c>
      <c r="H56" s="150"/>
      <c r="O56" s="137"/>
    </row>
    <row r="57" spans="1:15" x14ac:dyDescent="0.3">
      <c r="A57" s="89" t="s">
        <v>1327</v>
      </c>
      <c r="B57" s="97" t="s">
        <v>1367</v>
      </c>
      <c r="C57" s="76" t="s">
        <v>1366</v>
      </c>
      <c r="D57" s="136"/>
      <c r="E57" s="149">
        <v>841645.12</v>
      </c>
      <c r="F57" s="351"/>
      <c r="G57" s="149">
        <f t="shared" ref="G57:G59" si="5">G56-E57</f>
        <v>875333.63999999955</v>
      </c>
      <c r="H57" s="150"/>
      <c r="O57" s="137"/>
    </row>
    <row r="58" spans="1:15" x14ac:dyDescent="0.3">
      <c r="A58" s="89" t="s">
        <v>1392</v>
      </c>
      <c r="B58" s="97" t="s">
        <v>1402</v>
      </c>
      <c r="C58" s="76" t="s">
        <v>1401</v>
      </c>
      <c r="D58" s="136"/>
      <c r="E58" s="185">
        <v>99000</v>
      </c>
      <c r="F58" s="351"/>
      <c r="G58" s="149">
        <f t="shared" si="5"/>
        <v>776333.63999999955</v>
      </c>
      <c r="H58" s="150"/>
      <c r="O58" s="137"/>
    </row>
    <row r="59" spans="1:15" x14ac:dyDescent="0.3">
      <c r="A59" s="89" t="s">
        <v>1408</v>
      </c>
      <c r="B59" s="97" t="s">
        <v>1418</v>
      </c>
      <c r="C59" s="76" t="s">
        <v>1419</v>
      </c>
      <c r="D59" s="136"/>
      <c r="E59" s="185">
        <v>18000</v>
      </c>
      <c r="F59" s="351"/>
      <c r="G59" s="149">
        <f t="shared" si="5"/>
        <v>758333.63999999955</v>
      </c>
      <c r="H59" s="150"/>
      <c r="O59" s="137"/>
    </row>
    <row r="60" spans="1:15" ht="18.75" x14ac:dyDescent="0.3">
      <c r="A60" s="89" t="s">
        <v>2807</v>
      </c>
      <c r="B60" s="97" t="s">
        <v>2856</v>
      </c>
      <c r="C60" s="76" t="s">
        <v>2855</v>
      </c>
      <c r="D60" s="136"/>
      <c r="E60" s="351">
        <v>758300</v>
      </c>
      <c r="F60" s="351"/>
      <c r="G60" s="7">
        <f>G59-E60-F60</f>
        <v>33.639999999548309</v>
      </c>
      <c r="H60" s="150"/>
      <c r="O60" s="137"/>
    </row>
    <row r="61" spans="1:15" x14ac:dyDescent="0.3">
      <c r="A61" s="89"/>
      <c r="B61" s="97"/>
      <c r="C61" s="76"/>
      <c r="D61" s="136"/>
      <c r="E61" s="360"/>
      <c r="F61" s="351"/>
      <c r="G61" s="149"/>
      <c r="H61" s="150"/>
      <c r="O61" s="137"/>
    </row>
    <row r="62" spans="1:15" x14ac:dyDescent="0.3">
      <c r="A62" s="89"/>
      <c r="B62" s="97"/>
      <c r="C62" s="76"/>
      <c r="D62" s="136"/>
      <c r="E62" s="185"/>
      <c r="F62" s="351"/>
      <c r="G62" s="149"/>
      <c r="H62" s="150"/>
      <c r="O62" s="137"/>
    </row>
    <row r="63" spans="1:15" x14ac:dyDescent="0.3">
      <c r="A63" s="89"/>
      <c r="B63" s="97"/>
      <c r="C63" s="76"/>
      <c r="D63" s="134"/>
      <c r="E63" s="185"/>
      <c r="F63" s="351"/>
      <c r="G63" s="149"/>
      <c r="H63" s="150"/>
      <c r="O63" s="137"/>
    </row>
    <row r="64" spans="1:15" x14ac:dyDescent="0.3">
      <c r="A64" s="89" t="s">
        <v>206</v>
      </c>
      <c r="B64" s="97" t="s">
        <v>207</v>
      </c>
      <c r="C64" s="74" t="s">
        <v>205</v>
      </c>
      <c r="D64" s="134">
        <v>3496500</v>
      </c>
      <c r="E64" s="185"/>
      <c r="F64" s="351"/>
      <c r="G64" s="149">
        <f>D64</f>
        <v>3496500</v>
      </c>
      <c r="H64" s="130" t="s">
        <v>171</v>
      </c>
      <c r="O64" s="137"/>
    </row>
    <row r="65" spans="1:15" x14ac:dyDescent="0.3">
      <c r="A65" s="133" t="s">
        <v>254</v>
      </c>
      <c r="B65" s="90" t="s">
        <v>269</v>
      </c>
      <c r="C65" s="49" t="s">
        <v>255</v>
      </c>
      <c r="D65" s="134"/>
      <c r="E65" s="185">
        <v>1134000</v>
      </c>
      <c r="F65" s="351"/>
      <c r="G65" s="149">
        <f>G64-E65</f>
        <v>2362500</v>
      </c>
      <c r="H65" s="130"/>
      <c r="O65" s="137"/>
    </row>
    <row r="66" spans="1:15" x14ac:dyDescent="0.3">
      <c r="A66" s="133" t="s">
        <v>392</v>
      </c>
      <c r="B66" s="90">
        <v>5361</v>
      </c>
      <c r="C66" s="49" t="s">
        <v>387</v>
      </c>
      <c r="D66" s="134"/>
      <c r="E66" s="185">
        <v>554298.22</v>
      </c>
      <c r="F66" s="351"/>
      <c r="G66" s="149">
        <f>G65-E66</f>
        <v>1808201.78</v>
      </c>
      <c r="H66" s="94"/>
      <c r="O66" s="137"/>
    </row>
    <row r="67" spans="1:15" x14ac:dyDescent="0.3">
      <c r="A67" s="133" t="s">
        <v>658</v>
      </c>
      <c r="B67" s="90" t="s">
        <v>701</v>
      </c>
      <c r="C67" s="49" t="s">
        <v>656</v>
      </c>
      <c r="D67" s="134"/>
      <c r="E67" s="185">
        <v>590879.92000000004</v>
      </c>
      <c r="F67" s="351"/>
      <c r="G67" s="149">
        <f>G66-E67</f>
        <v>1217321.8599999999</v>
      </c>
      <c r="H67" s="94"/>
      <c r="O67" s="137"/>
    </row>
    <row r="68" spans="1:15" x14ac:dyDescent="0.3">
      <c r="A68" s="133" t="s">
        <v>901</v>
      </c>
      <c r="B68" s="97" t="s">
        <v>916</v>
      </c>
      <c r="C68" s="49" t="s">
        <v>892</v>
      </c>
      <c r="D68" s="134"/>
      <c r="E68" s="185">
        <v>578250.29</v>
      </c>
      <c r="F68" s="351"/>
      <c r="G68" s="149">
        <f>G67-E68</f>
        <v>639071.56999999983</v>
      </c>
      <c r="H68" s="94"/>
      <c r="O68" s="137"/>
    </row>
    <row r="69" spans="1:15" x14ac:dyDescent="0.3">
      <c r="A69" s="133" t="s">
        <v>1065</v>
      </c>
      <c r="B69" s="97" t="s">
        <v>1066</v>
      </c>
      <c r="C69" s="49" t="s">
        <v>1064</v>
      </c>
      <c r="D69" s="134"/>
      <c r="E69" s="185">
        <v>579701.77</v>
      </c>
      <c r="F69" s="351"/>
      <c r="G69" s="149">
        <f>G68-E69</f>
        <v>59369.799999999814</v>
      </c>
      <c r="H69" s="94"/>
      <c r="O69" s="137"/>
    </row>
    <row r="70" spans="1:15" x14ac:dyDescent="0.3">
      <c r="A70" s="133" t="s">
        <v>1297</v>
      </c>
      <c r="B70" s="97" t="s">
        <v>1301</v>
      </c>
      <c r="C70" s="74" t="s">
        <v>1302</v>
      </c>
      <c r="D70" s="134">
        <v>3437500</v>
      </c>
      <c r="E70" s="185"/>
      <c r="F70" s="351"/>
      <c r="G70" s="149">
        <f>G69+D70</f>
        <v>3496869.8</v>
      </c>
      <c r="H70" s="94" t="s">
        <v>1300</v>
      </c>
      <c r="O70" s="137"/>
    </row>
    <row r="71" spans="1:15" x14ac:dyDescent="0.3">
      <c r="A71" s="133" t="s">
        <v>1392</v>
      </c>
      <c r="B71" s="97" t="s">
        <v>1400</v>
      </c>
      <c r="C71" s="49" t="s">
        <v>1357</v>
      </c>
      <c r="D71" s="134"/>
      <c r="E71" s="185">
        <v>582750</v>
      </c>
      <c r="F71" s="351"/>
      <c r="G71" s="149">
        <f t="shared" ref="G71:G76" si="6">G70-E71</f>
        <v>2914119.8</v>
      </c>
      <c r="H71" s="94"/>
      <c r="O71" s="137"/>
    </row>
    <row r="72" spans="1:15" x14ac:dyDescent="0.3">
      <c r="A72" s="133" t="s">
        <v>1408</v>
      </c>
      <c r="B72" s="97" t="s">
        <v>1428</v>
      </c>
      <c r="C72" s="49" t="s">
        <v>1429</v>
      </c>
      <c r="D72" s="134"/>
      <c r="E72" s="185">
        <v>582750</v>
      </c>
      <c r="F72" s="351"/>
      <c r="G72" s="149">
        <f t="shared" si="6"/>
        <v>2331369.7999999998</v>
      </c>
      <c r="H72" s="94"/>
      <c r="O72" s="137"/>
    </row>
    <row r="73" spans="1:15" ht="18.75" x14ac:dyDescent="0.3">
      <c r="A73" s="133" t="s">
        <v>1443</v>
      </c>
      <c r="B73" s="97"/>
      <c r="C73" s="49" t="s">
        <v>1447</v>
      </c>
      <c r="D73" s="134"/>
      <c r="E73" s="267">
        <v>-7821.06</v>
      </c>
      <c r="F73" s="351"/>
      <c r="G73" s="149">
        <f t="shared" si="6"/>
        <v>2339190.86</v>
      </c>
      <c r="H73" s="94"/>
      <c r="O73" s="137"/>
    </row>
    <row r="74" spans="1:15" ht="18.75" x14ac:dyDescent="0.3">
      <c r="A74" s="133" t="s">
        <v>1606</v>
      </c>
      <c r="B74" s="97" t="s">
        <v>1630</v>
      </c>
      <c r="C74" s="49" t="s">
        <v>1631</v>
      </c>
      <c r="D74" s="134"/>
      <c r="E74" s="267">
        <v>567000</v>
      </c>
      <c r="F74" s="351"/>
      <c r="G74" s="149">
        <f t="shared" si="6"/>
        <v>1772190.8599999999</v>
      </c>
      <c r="H74" s="94"/>
      <c r="O74" s="137"/>
    </row>
    <row r="75" spans="1:15" ht="18.75" x14ac:dyDescent="0.3">
      <c r="A75" s="133" t="s">
        <v>1950</v>
      </c>
      <c r="B75" s="97" t="s">
        <v>1979</v>
      </c>
      <c r="C75" s="49" t="s">
        <v>1978</v>
      </c>
      <c r="D75" s="134"/>
      <c r="E75" s="267">
        <v>567000</v>
      </c>
      <c r="F75" s="351"/>
      <c r="G75" s="149">
        <f t="shared" si="6"/>
        <v>1205190.8599999999</v>
      </c>
      <c r="H75" s="94"/>
      <c r="O75" s="137"/>
    </row>
    <row r="76" spans="1:15" ht="18.75" x14ac:dyDescent="0.3">
      <c r="A76" s="133" t="s">
        <v>2251</v>
      </c>
      <c r="B76" s="97" t="s">
        <v>2252</v>
      </c>
      <c r="C76" s="49" t="s">
        <v>2070</v>
      </c>
      <c r="D76" s="134"/>
      <c r="E76" s="267">
        <v>567000</v>
      </c>
      <c r="F76" s="197"/>
      <c r="G76" s="149">
        <f t="shared" si="6"/>
        <v>638190.85999999987</v>
      </c>
      <c r="H76" s="94"/>
      <c r="O76" s="137"/>
    </row>
    <row r="77" spans="1:15" ht="18.75" x14ac:dyDescent="0.3">
      <c r="A77" s="133" t="s">
        <v>2741</v>
      </c>
      <c r="B77" s="97" t="s">
        <v>2791</v>
      </c>
      <c r="C77" s="49" t="s">
        <v>2071</v>
      </c>
      <c r="D77" s="134"/>
      <c r="E77" s="267">
        <v>557025</v>
      </c>
      <c r="F77" s="197"/>
      <c r="G77" s="149">
        <f>G76-E77-F77</f>
        <v>81165.85999999987</v>
      </c>
      <c r="H77" s="94"/>
      <c r="O77" s="137"/>
    </row>
    <row r="78" spans="1:15" ht="18.75" x14ac:dyDescent="0.3">
      <c r="A78" s="133"/>
      <c r="B78" s="97"/>
      <c r="C78" s="49" t="s">
        <v>2800</v>
      </c>
      <c r="D78" s="134"/>
      <c r="E78" s="267"/>
      <c r="F78" s="351"/>
      <c r="G78" s="149">
        <f>G77-E78-F78</f>
        <v>81165.85999999987</v>
      </c>
      <c r="H78" s="94"/>
      <c r="O78" s="137"/>
    </row>
    <row r="79" spans="1:15" ht="18.75" x14ac:dyDescent="0.3">
      <c r="A79" s="133"/>
      <c r="B79" s="97"/>
      <c r="C79" s="49"/>
      <c r="D79" s="267">
        <v>-65940.86</v>
      </c>
      <c r="E79" s="267"/>
      <c r="F79" s="351"/>
      <c r="G79" s="149">
        <f>G78+D79</f>
        <v>15224.999999999869</v>
      </c>
      <c r="H79" s="94"/>
      <c r="O79" s="137"/>
    </row>
    <row r="80" spans="1:15" x14ac:dyDescent="0.3">
      <c r="A80" s="133"/>
      <c r="B80" s="97"/>
      <c r="C80" s="49"/>
      <c r="D80" s="134"/>
      <c r="E80" s="185"/>
      <c r="F80" s="351"/>
      <c r="G80" s="149"/>
      <c r="H80" s="94"/>
      <c r="O80" s="137"/>
    </row>
    <row r="81" spans="1:17" x14ac:dyDescent="0.3">
      <c r="A81" s="89" t="s">
        <v>221</v>
      </c>
      <c r="B81" s="97" t="s">
        <v>222</v>
      </c>
      <c r="C81" s="74" t="s">
        <v>324</v>
      </c>
      <c r="D81" s="134">
        <v>1732500</v>
      </c>
      <c r="E81" s="185"/>
      <c r="F81" s="351"/>
      <c r="G81" s="149">
        <f>D81</f>
        <v>1732500</v>
      </c>
      <c r="H81" s="130" t="s">
        <v>171</v>
      </c>
      <c r="O81" s="137"/>
    </row>
    <row r="82" spans="1:17" x14ac:dyDescent="0.3">
      <c r="A82" s="89" t="s">
        <v>326</v>
      </c>
      <c r="B82" s="90" t="s">
        <v>325</v>
      </c>
      <c r="C82" s="49" t="s">
        <v>255</v>
      </c>
      <c r="D82" s="134"/>
      <c r="E82" s="185">
        <v>693000</v>
      </c>
      <c r="F82" s="351"/>
      <c r="G82" s="149">
        <f>G81-E82</f>
        <v>1039500</v>
      </c>
      <c r="H82" s="94"/>
      <c r="O82" s="137"/>
    </row>
    <row r="83" spans="1:17" x14ac:dyDescent="0.3">
      <c r="A83" s="133" t="s">
        <v>392</v>
      </c>
      <c r="B83" s="90" t="s">
        <v>570</v>
      </c>
      <c r="C83" s="49" t="s">
        <v>387</v>
      </c>
      <c r="D83" s="134"/>
      <c r="E83" s="185">
        <v>346500</v>
      </c>
      <c r="F83" s="197"/>
      <c r="G83" s="149">
        <f>G82-E83</f>
        <v>693000</v>
      </c>
      <c r="H83" s="94"/>
      <c r="O83" s="137"/>
    </row>
    <row r="84" spans="1:17" x14ac:dyDescent="0.3">
      <c r="A84" s="133" t="s">
        <v>658</v>
      </c>
      <c r="B84" s="90" t="s">
        <v>700</v>
      </c>
      <c r="C84" s="49" t="s">
        <v>656</v>
      </c>
      <c r="D84" s="134"/>
      <c r="E84" s="185">
        <v>346500</v>
      </c>
      <c r="F84" s="351"/>
      <c r="G84" s="149">
        <f>G83-E84</f>
        <v>346500</v>
      </c>
      <c r="H84" s="94"/>
      <c r="O84" s="137"/>
    </row>
    <row r="85" spans="1:17" x14ac:dyDescent="0.3">
      <c r="A85" s="133" t="s">
        <v>901</v>
      </c>
      <c r="B85" s="90" t="s">
        <v>923</v>
      </c>
      <c r="C85" s="49" t="s">
        <v>892</v>
      </c>
      <c r="D85" s="134"/>
      <c r="E85" s="185">
        <v>346500</v>
      </c>
      <c r="F85" s="351"/>
      <c r="G85" s="248">
        <f>G84-E85</f>
        <v>0</v>
      </c>
      <c r="H85" s="94"/>
      <c r="O85" s="137"/>
    </row>
    <row r="86" spans="1:17" x14ac:dyDescent="0.3">
      <c r="A86" s="89" t="s">
        <v>1113</v>
      </c>
      <c r="B86" s="90" t="s">
        <v>1081</v>
      </c>
      <c r="C86" s="74" t="s">
        <v>1082</v>
      </c>
      <c r="D86" s="134">
        <v>2425500</v>
      </c>
      <c r="E86" s="185"/>
      <c r="F86" s="351"/>
      <c r="G86" s="248">
        <f>G85+D86</f>
        <v>2425500</v>
      </c>
      <c r="H86" s="94" t="s">
        <v>1112</v>
      </c>
      <c r="O86" s="137"/>
    </row>
    <row r="87" spans="1:17" x14ac:dyDescent="0.3">
      <c r="A87" s="133" t="s">
        <v>1233</v>
      </c>
      <c r="B87" s="90" t="s">
        <v>1236</v>
      </c>
      <c r="C87" s="49" t="s">
        <v>1064</v>
      </c>
      <c r="D87" s="134"/>
      <c r="E87" s="185">
        <v>693000</v>
      </c>
      <c r="F87" s="351"/>
      <c r="G87" s="248">
        <f>G86-E87</f>
        <v>1732500</v>
      </c>
      <c r="H87" s="94" t="s">
        <v>1287</v>
      </c>
      <c r="O87" s="137"/>
    </row>
    <row r="88" spans="1:17" x14ac:dyDescent="0.3">
      <c r="A88" s="133" t="s">
        <v>1426</v>
      </c>
      <c r="B88" s="90" t="s">
        <v>1427</v>
      </c>
      <c r="C88" s="49" t="s">
        <v>1420</v>
      </c>
      <c r="D88" s="134"/>
      <c r="E88" s="185">
        <v>315000</v>
      </c>
      <c r="F88" s="351"/>
      <c r="G88" s="248">
        <f>G87-E88</f>
        <v>1417500</v>
      </c>
      <c r="H88" s="94"/>
      <c r="O88" s="137"/>
    </row>
    <row r="89" spans="1:17" ht="18.75" x14ac:dyDescent="0.3">
      <c r="A89" s="133" t="s">
        <v>1606</v>
      </c>
      <c r="B89" s="90" t="s">
        <v>1636</v>
      </c>
      <c r="C89" s="49" t="s">
        <v>1631</v>
      </c>
      <c r="D89" s="134"/>
      <c r="E89" s="267">
        <v>315000</v>
      </c>
      <c r="F89" s="351"/>
      <c r="G89" s="248">
        <f>G88-E89</f>
        <v>1102500</v>
      </c>
      <c r="H89" s="94"/>
      <c r="O89" s="137"/>
    </row>
    <row r="90" spans="1:17" ht="18.75" x14ac:dyDescent="0.3">
      <c r="A90" s="344" t="s">
        <v>1950</v>
      </c>
      <c r="B90" s="228" t="s">
        <v>1987</v>
      </c>
      <c r="C90" s="116" t="s">
        <v>1983</v>
      </c>
      <c r="D90" s="345"/>
      <c r="E90" s="346">
        <v>299250</v>
      </c>
      <c r="F90" s="353"/>
      <c r="G90" s="248">
        <f>G89-E90</f>
        <v>803250</v>
      </c>
      <c r="H90" s="150"/>
      <c r="O90" s="137"/>
    </row>
    <row r="91" spans="1:17" ht="18.75" x14ac:dyDescent="0.3">
      <c r="A91" s="344" t="s">
        <v>2261</v>
      </c>
      <c r="B91" s="228" t="s">
        <v>2262</v>
      </c>
      <c r="C91" s="49" t="s">
        <v>2260</v>
      </c>
      <c r="D91" s="345"/>
      <c r="E91" s="346">
        <v>299250</v>
      </c>
      <c r="F91" s="356"/>
      <c r="G91" s="347">
        <f>G90-E91-F91</f>
        <v>504000</v>
      </c>
      <c r="H91" s="150"/>
      <c r="O91" s="137"/>
    </row>
    <row r="92" spans="1:17" ht="18.75" x14ac:dyDescent="0.3">
      <c r="A92" s="344" t="s">
        <v>2741</v>
      </c>
      <c r="B92" s="228" t="s">
        <v>2788</v>
      </c>
      <c r="C92" s="49" t="s">
        <v>2071</v>
      </c>
      <c r="D92" s="345"/>
      <c r="E92" s="346">
        <v>267750</v>
      </c>
      <c r="F92" s="356"/>
      <c r="G92" s="347">
        <f>G91-E92-F92</f>
        <v>236250</v>
      </c>
      <c r="H92" s="150"/>
      <c r="O92" s="137"/>
    </row>
    <row r="93" spans="1:17" ht="18.75" x14ac:dyDescent="0.3">
      <c r="A93" s="344"/>
      <c r="B93" s="228"/>
      <c r="C93" s="116"/>
      <c r="D93" s="239">
        <v>-204750</v>
      </c>
      <c r="E93" s="346"/>
      <c r="F93" s="356"/>
      <c r="G93" s="347">
        <f>G92+D93</f>
        <v>31500</v>
      </c>
      <c r="H93" s="150"/>
      <c r="O93" s="137"/>
    </row>
    <row r="94" spans="1:17" x14ac:dyDescent="0.3">
      <c r="A94" s="270"/>
      <c r="B94" s="228"/>
      <c r="C94" s="116"/>
      <c r="D94" s="141"/>
      <c r="E94" s="141"/>
      <c r="F94" s="353"/>
      <c r="G94" s="142"/>
      <c r="H94" s="150"/>
      <c r="J94" s="138"/>
      <c r="K94" s="138"/>
      <c r="L94" s="138"/>
      <c r="M94" s="139"/>
      <c r="N94" s="138"/>
      <c r="O94" s="140"/>
      <c r="P94" s="138"/>
      <c r="Q94" s="138"/>
    </row>
    <row r="95" spans="1:17" ht="18" thickBot="1" x14ac:dyDescent="0.35">
      <c r="A95" s="89"/>
      <c r="B95" s="143"/>
      <c r="C95" s="131" t="s">
        <v>20</v>
      </c>
      <c r="D95" s="196">
        <f>SUM(D6:D94)</f>
        <v>32921645.490000002</v>
      </c>
      <c r="E95" s="355">
        <f>SUM(E6:E94)</f>
        <v>32874886.850000001</v>
      </c>
      <c r="F95" s="436">
        <f>SUM(F6:F94)</f>
        <v>0</v>
      </c>
      <c r="G95" s="144">
        <f>D95-E95-F95</f>
        <v>46758.640000000596</v>
      </c>
      <c r="H95" s="94"/>
      <c r="J95" s="138"/>
      <c r="K95" s="138"/>
      <c r="L95" s="138"/>
      <c r="M95" s="139"/>
      <c r="N95" s="138"/>
      <c r="O95" s="140"/>
      <c r="P95" s="138"/>
      <c r="Q95" s="138"/>
    </row>
    <row r="96" spans="1:17" ht="18" thickTop="1" x14ac:dyDescent="0.3">
      <c r="B96" s="145"/>
      <c r="J96" s="139"/>
      <c r="K96" s="138"/>
      <c r="L96" s="138"/>
      <c r="M96" s="139"/>
      <c r="N96" s="138"/>
      <c r="O96" s="140"/>
      <c r="P96" s="138"/>
      <c r="Q96" s="138"/>
    </row>
    <row r="97" spans="4:17" x14ac:dyDescent="0.3">
      <c r="J97" s="138"/>
      <c r="K97" s="138"/>
      <c r="L97" s="138"/>
      <c r="M97" s="146"/>
      <c r="N97" s="138"/>
      <c r="O97" s="138"/>
      <c r="P97" s="138"/>
      <c r="Q97" s="138"/>
    </row>
    <row r="98" spans="4:17" x14ac:dyDescent="0.3">
      <c r="J98" s="138"/>
      <c r="K98" s="138"/>
      <c r="L98" s="138"/>
      <c r="M98" s="138"/>
      <c r="N98" s="138"/>
      <c r="O98" s="138"/>
      <c r="P98" s="138"/>
      <c r="Q98" s="138"/>
    </row>
    <row r="99" spans="4:17" x14ac:dyDescent="0.3">
      <c r="D99" s="132"/>
    </row>
    <row r="100" spans="4:17" x14ac:dyDescent="0.3">
      <c r="D100" s="132"/>
    </row>
    <row r="101" spans="4:17" x14ac:dyDescent="0.3">
      <c r="D101" s="132"/>
    </row>
    <row r="102" spans="4:17" x14ac:dyDescent="0.3">
      <c r="D102" s="139"/>
    </row>
    <row r="103" spans="4:17" x14ac:dyDescent="0.3">
      <c r="D103" s="139"/>
    </row>
    <row r="105" spans="4:17" x14ac:dyDescent="0.3">
      <c r="D105" s="147"/>
    </row>
  </sheetData>
  <mergeCells count="2">
    <mergeCell ref="A1:G1"/>
    <mergeCell ref="A2:H2"/>
  </mergeCells>
  <pageMargins left="0.27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13" workbookViewId="0">
      <selection activeCell="P27" sqref="P27"/>
    </sheetView>
  </sheetViews>
  <sheetFormatPr defaultRowHeight="17.25" x14ac:dyDescent="0.3"/>
  <cols>
    <col min="1" max="1" width="8.7109375" style="78" customWidth="1"/>
    <col min="2" max="2" width="8.42578125" style="78" customWidth="1"/>
    <col min="3" max="3" width="23.85546875" style="78" customWidth="1"/>
    <col min="4" max="4" width="11.28515625" style="78" customWidth="1"/>
    <col min="5" max="5" width="12.28515625" style="78" customWidth="1"/>
    <col min="6" max="6" width="10.7109375" style="78" customWidth="1"/>
    <col min="7" max="7" width="13" style="78" customWidth="1"/>
    <col min="8" max="8" width="8.85546875" style="78" customWidth="1"/>
    <col min="9" max="10" width="9.140625" style="78"/>
    <col min="11" max="11" width="12.28515625" style="78" customWidth="1"/>
    <col min="12" max="12" width="11.140625" style="78" customWidth="1"/>
    <col min="13" max="16384" width="9.140625" style="78"/>
  </cols>
  <sheetData>
    <row r="1" spans="1:11" x14ac:dyDescent="0.3">
      <c r="A1" s="453" t="s">
        <v>209</v>
      </c>
      <c r="B1" s="453"/>
      <c r="C1" s="453"/>
      <c r="D1" s="453"/>
      <c r="E1" s="453"/>
      <c r="F1" s="453"/>
      <c r="G1" s="453"/>
      <c r="H1" s="77" t="s">
        <v>1590</v>
      </c>
    </row>
    <row r="2" spans="1:11" x14ac:dyDescent="0.3">
      <c r="A2" s="453" t="s">
        <v>2664</v>
      </c>
      <c r="B2" s="453"/>
      <c r="C2" s="453"/>
      <c r="D2" s="453"/>
      <c r="E2" s="453"/>
      <c r="F2" s="453"/>
      <c r="G2" s="453"/>
      <c r="H2" s="453"/>
    </row>
    <row r="3" spans="1:11" x14ac:dyDescent="0.3">
      <c r="A3" s="77" t="s">
        <v>14</v>
      </c>
      <c r="B3" s="77"/>
      <c r="C3" s="77"/>
      <c r="D3" s="77"/>
      <c r="E3" s="77"/>
      <c r="F3" s="77"/>
      <c r="G3" s="77" t="s">
        <v>5</v>
      </c>
      <c r="H3" s="77" t="s">
        <v>142</v>
      </c>
    </row>
    <row r="4" spans="1:11" x14ac:dyDescent="0.3">
      <c r="A4" s="80" t="s">
        <v>16</v>
      </c>
      <c r="B4" s="80" t="s">
        <v>12</v>
      </c>
      <c r="C4" s="81" t="s">
        <v>4</v>
      </c>
      <c r="D4" s="82" t="s">
        <v>15</v>
      </c>
      <c r="E4" s="82" t="s">
        <v>1</v>
      </c>
      <c r="F4" s="82" t="s">
        <v>36</v>
      </c>
      <c r="G4" s="83" t="s">
        <v>2</v>
      </c>
      <c r="H4" s="81" t="s">
        <v>3</v>
      </c>
    </row>
    <row r="5" spans="1:11" ht="28.5" customHeight="1" x14ac:dyDescent="0.3">
      <c r="A5" s="84"/>
      <c r="B5" s="84"/>
      <c r="C5" s="85"/>
      <c r="D5" s="86" t="s">
        <v>0</v>
      </c>
      <c r="E5" s="86"/>
      <c r="F5" s="86" t="s">
        <v>34</v>
      </c>
      <c r="G5" s="87"/>
      <c r="H5" s="88" t="s">
        <v>17</v>
      </c>
      <c r="I5" s="233" t="s">
        <v>8</v>
      </c>
    </row>
    <row r="6" spans="1:11" x14ac:dyDescent="0.3">
      <c r="A6" s="89"/>
      <c r="B6" s="90"/>
      <c r="C6" s="49"/>
      <c r="D6" s="136"/>
      <c r="E6" s="93"/>
      <c r="F6" s="93"/>
      <c r="G6" s="92"/>
      <c r="H6" s="94"/>
      <c r="I6" s="193"/>
      <c r="K6" s="137"/>
    </row>
    <row r="7" spans="1:11" x14ac:dyDescent="0.3">
      <c r="A7" s="133"/>
      <c r="B7" s="90"/>
      <c r="C7" s="74" t="s">
        <v>204</v>
      </c>
      <c r="D7" s="136"/>
      <c r="E7" s="134"/>
      <c r="F7" s="91"/>
      <c r="G7" s="135">
        <f>D7</f>
        <v>0</v>
      </c>
      <c r="H7" s="130"/>
      <c r="I7" s="193"/>
      <c r="K7" s="137"/>
    </row>
    <row r="8" spans="1:11" x14ac:dyDescent="0.3">
      <c r="A8" s="133" t="s">
        <v>1320</v>
      </c>
      <c r="B8" s="97" t="s">
        <v>1323</v>
      </c>
      <c r="C8" s="49" t="s">
        <v>1324</v>
      </c>
      <c r="D8" s="136">
        <v>2808000</v>
      </c>
      <c r="E8" s="185"/>
      <c r="F8" s="91"/>
      <c r="G8" s="149">
        <f>G7+D8</f>
        <v>2808000</v>
      </c>
      <c r="H8" s="94" t="s">
        <v>1590</v>
      </c>
      <c r="K8" s="137"/>
    </row>
    <row r="9" spans="1:11" x14ac:dyDescent="0.3">
      <c r="A9" s="89" t="s">
        <v>1592</v>
      </c>
      <c r="B9" s="97" t="s">
        <v>1594</v>
      </c>
      <c r="C9" s="76" t="s">
        <v>1595</v>
      </c>
      <c r="D9" s="134"/>
      <c r="E9" s="433">
        <v>89419</v>
      </c>
      <c r="F9" s="91"/>
      <c r="G9" s="149">
        <f>G8-E9</f>
        <v>2718581</v>
      </c>
      <c r="H9" s="150"/>
      <c r="K9" s="137"/>
    </row>
    <row r="10" spans="1:11" x14ac:dyDescent="0.3">
      <c r="A10" s="89" t="s">
        <v>1625</v>
      </c>
      <c r="B10" s="97" t="s">
        <v>1628</v>
      </c>
      <c r="C10" s="76" t="s">
        <v>1627</v>
      </c>
      <c r="D10" s="134"/>
      <c r="E10" s="433">
        <v>32516</v>
      </c>
      <c r="F10" s="91"/>
      <c r="G10" s="149">
        <f t="shared" ref="G10:G16" si="0">G9-E10</f>
        <v>2686065</v>
      </c>
      <c r="H10" s="150"/>
      <c r="K10" s="137"/>
    </row>
    <row r="11" spans="1:11" x14ac:dyDescent="0.3">
      <c r="A11" s="89" t="s">
        <v>1726</v>
      </c>
      <c r="B11" s="97" t="s">
        <v>2121</v>
      </c>
      <c r="C11" s="49" t="s">
        <v>2123</v>
      </c>
      <c r="D11" s="134"/>
      <c r="E11" s="433">
        <v>900000</v>
      </c>
      <c r="F11" s="91"/>
      <c r="G11" s="149">
        <f t="shared" si="0"/>
        <v>1786065</v>
      </c>
      <c r="H11" s="150"/>
      <c r="K11" s="137"/>
    </row>
    <row r="12" spans="1:11" x14ac:dyDescent="0.3">
      <c r="A12" s="89" t="s">
        <v>1734</v>
      </c>
      <c r="B12" s="97" t="s">
        <v>1742</v>
      </c>
      <c r="C12" s="49" t="s">
        <v>1739</v>
      </c>
      <c r="D12" s="134"/>
      <c r="E12" s="433">
        <v>36000</v>
      </c>
      <c r="F12" s="91"/>
      <c r="G12" s="149">
        <f t="shared" si="0"/>
        <v>1750065</v>
      </c>
      <c r="H12" s="150"/>
      <c r="K12" s="137"/>
    </row>
    <row r="13" spans="1:11" x14ac:dyDescent="0.3">
      <c r="A13" s="89" t="s">
        <v>2015</v>
      </c>
      <c r="B13" s="97" t="s">
        <v>2126</v>
      </c>
      <c r="C13" s="49" t="s">
        <v>2042</v>
      </c>
      <c r="D13" s="134"/>
      <c r="E13" s="434">
        <v>801000</v>
      </c>
      <c r="F13" s="91"/>
      <c r="G13" s="149">
        <f t="shared" si="0"/>
        <v>949065</v>
      </c>
      <c r="H13" s="150"/>
      <c r="K13" s="137"/>
    </row>
    <row r="14" spans="1:11" x14ac:dyDescent="0.3">
      <c r="A14" s="89"/>
      <c r="B14" s="97" t="s">
        <v>2128</v>
      </c>
      <c r="C14" s="49" t="s">
        <v>2064</v>
      </c>
      <c r="D14" s="136"/>
      <c r="E14" s="434">
        <v>117000</v>
      </c>
      <c r="F14" s="91"/>
      <c r="G14" s="149">
        <f t="shared" si="0"/>
        <v>832065</v>
      </c>
      <c r="H14" s="150"/>
      <c r="K14" s="137"/>
    </row>
    <row r="15" spans="1:11" x14ac:dyDescent="0.3">
      <c r="A15" s="89" t="s">
        <v>2116</v>
      </c>
      <c r="B15" s="97" t="s">
        <v>2130</v>
      </c>
      <c r="C15" s="49" t="s">
        <v>2044</v>
      </c>
      <c r="D15" s="136"/>
      <c r="E15" s="433">
        <v>9000</v>
      </c>
      <c r="F15" s="91"/>
      <c r="G15" s="149">
        <f t="shared" si="0"/>
        <v>823065</v>
      </c>
      <c r="H15" s="150"/>
      <c r="K15" s="137"/>
    </row>
    <row r="16" spans="1:11" x14ac:dyDescent="0.3">
      <c r="A16" s="89" t="s">
        <v>2116</v>
      </c>
      <c r="B16" s="97" t="s">
        <v>2131</v>
      </c>
      <c r="C16" s="49" t="s">
        <v>2044</v>
      </c>
      <c r="D16" s="136"/>
      <c r="E16" s="433">
        <v>9000</v>
      </c>
      <c r="F16" s="91"/>
      <c r="G16" s="149">
        <f t="shared" si="0"/>
        <v>814065</v>
      </c>
      <c r="H16" s="150"/>
      <c r="K16" s="137"/>
    </row>
    <row r="17" spans="1:13" ht="18.75" x14ac:dyDescent="0.3">
      <c r="A17" s="89" t="s">
        <v>1498</v>
      </c>
      <c r="B17" s="97" t="s">
        <v>1510</v>
      </c>
      <c r="C17" s="76" t="s">
        <v>1511</v>
      </c>
      <c r="D17" s="136"/>
      <c r="E17" s="434">
        <v>503707.64</v>
      </c>
      <c r="F17" s="134"/>
      <c r="G17" s="7">
        <f>G16-E17-F17</f>
        <v>310357.36</v>
      </c>
      <c r="H17" s="150"/>
      <c r="K17" s="137"/>
    </row>
    <row r="18" spans="1:13" ht="18.75" x14ac:dyDescent="0.3">
      <c r="A18" s="89"/>
      <c r="B18" s="97"/>
      <c r="C18" s="76" t="s">
        <v>2118</v>
      </c>
      <c r="D18" s="136"/>
      <c r="E18" s="434">
        <v>240386</v>
      </c>
      <c r="F18" s="134"/>
      <c r="G18" s="7">
        <f>G17-E18-F18</f>
        <v>69971.359999999986</v>
      </c>
      <c r="H18" s="150"/>
      <c r="K18" s="137"/>
    </row>
    <row r="19" spans="1:13" ht="18.75" x14ac:dyDescent="0.3">
      <c r="A19" s="89" t="s">
        <v>2807</v>
      </c>
      <c r="B19" s="97" t="s">
        <v>2857</v>
      </c>
      <c r="C19" s="76" t="s">
        <v>2858</v>
      </c>
      <c r="D19" s="136"/>
      <c r="E19" s="185">
        <v>69900</v>
      </c>
      <c r="F19" s="185"/>
      <c r="G19" s="7">
        <f>G18-E19-F19</f>
        <v>71.35999999998603</v>
      </c>
      <c r="H19" s="150"/>
      <c r="K19" s="137"/>
    </row>
    <row r="20" spans="1:13" x14ac:dyDescent="0.3">
      <c r="A20" s="89"/>
      <c r="B20" s="97"/>
      <c r="C20" s="76"/>
      <c r="D20" s="136"/>
      <c r="E20" s="433"/>
      <c r="F20" s="91"/>
      <c r="G20" s="149"/>
      <c r="H20" s="150"/>
      <c r="K20" s="137"/>
    </row>
    <row r="21" spans="1:13" ht="18.75" x14ac:dyDescent="0.3">
      <c r="A21" s="89"/>
      <c r="B21" s="97"/>
      <c r="C21" s="74" t="s">
        <v>204</v>
      </c>
      <c r="D21" s="136"/>
      <c r="E21" s="435"/>
      <c r="F21" s="91"/>
      <c r="G21" s="149"/>
      <c r="H21" s="269"/>
      <c r="K21" s="137"/>
    </row>
    <row r="22" spans="1:13" x14ac:dyDescent="0.3">
      <c r="A22" s="133" t="s">
        <v>1320</v>
      </c>
      <c r="B22" s="97" t="s">
        <v>1323</v>
      </c>
      <c r="C22" s="49" t="s">
        <v>1325</v>
      </c>
      <c r="D22" s="136">
        <v>252000</v>
      </c>
      <c r="E22" s="433"/>
      <c r="F22" s="91"/>
      <c r="G22" s="149">
        <f>G21+D22</f>
        <v>252000</v>
      </c>
      <c r="H22" s="94" t="s">
        <v>1591</v>
      </c>
      <c r="K22" s="137"/>
    </row>
    <row r="23" spans="1:13" x14ac:dyDescent="0.3">
      <c r="A23" s="133"/>
      <c r="B23" s="97" t="s">
        <v>2120</v>
      </c>
      <c r="C23" s="76" t="s">
        <v>1597</v>
      </c>
      <c r="D23" s="136"/>
      <c r="E23" s="434">
        <v>16258</v>
      </c>
      <c r="F23" s="91"/>
      <c r="G23" s="149">
        <f>G22-E23</f>
        <v>235742</v>
      </c>
      <c r="H23" s="150"/>
      <c r="K23" s="137"/>
    </row>
    <row r="24" spans="1:13" x14ac:dyDescent="0.3">
      <c r="A24" s="89" t="s">
        <v>1592</v>
      </c>
      <c r="B24" s="97" t="s">
        <v>1596</v>
      </c>
      <c r="C24" s="76" t="s">
        <v>1597</v>
      </c>
      <c r="D24" s="136"/>
      <c r="E24" s="434">
        <v>16258</v>
      </c>
      <c r="F24" s="91"/>
      <c r="G24" s="149">
        <f t="shared" ref="G24:G29" si="1">G23-E24</f>
        <v>219484</v>
      </c>
      <c r="H24" s="150"/>
      <c r="K24" s="137"/>
    </row>
    <row r="25" spans="1:13" x14ac:dyDescent="0.3">
      <c r="A25" s="89"/>
      <c r="B25" s="97" t="s">
        <v>1733</v>
      </c>
      <c r="C25" s="49" t="s">
        <v>2122</v>
      </c>
      <c r="D25" s="136"/>
      <c r="E25" s="434">
        <v>54000</v>
      </c>
      <c r="F25" s="91"/>
      <c r="G25" s="149">
        <f t="shared" si="1"/>
        <v>165484</v>
      </c>
      <c r="H25" s="150"/>
      <c r="K25" s="137"/>
    </row>
    <row r="26" spans="1:13" x14ac:dyDescent="0.3">
      <c r="A26" s="89" t="s">
        <v>1734</v>
      </c>
      <c r="B26" s="97" t="s">
        <v>1741</v>
      </c>
      <c r="C26" s="49" t="s">
        <v>1740</v>
      </c>
      <c r="D26" s="136"/>
      <c r="E26" s="434">
        <v>9000</v>
      </c>
      <c r="F26" s="91"/>
      <c r="G26" s="149">
        <f t="shared" si="1"/>
        <v>156484</v>
      </c>
      <c r="H26" s="150"/>
      <c r="K26" s="137"/>
    </row>
    <row r="27" spans="1:13" x14ac:dyDescent="0.3">
      <c r="A27" s="89" t="s">
        <v>2015</v>
      </c>
      <c r="B27" s="97" t="s">
        <v>2127</v>
      </c>
      <c r="C27" s="49" t="s">
        <v>2043</v>
      </c>
      <c r="D27" s="134"/>
      <c r="E27" s="434">
        <v>45000</v>
      </c>
      <c r="F27" s="91"/>
      <c r="G27" s="149">
        <f t="shared" si="1"/>
        <v>111484</v>
      </c>
      <c r="H27" s="150"/>
      <c r="K27" s="137"/>
    </row>
    <row r="28" spans="1:13" x14ac:dyDescent="0.3">
      <c r="A28" s="89"/>
      <c r="B28" s="97" t="s">
        <v>2065</v>
      </c>
      <c r="C28" s="49" t="s">
        <v>2044</v>
      </c>
      <c r="D28" s="134"/>
      <c r="E28" s="434">
        <v>3193.52</v>
      </c>
      <c r="F28" s="91"/>
      <c r="G28" s="149">
        <f t="shared" si="1"/>
        <v>108290.48</v>
      </c>
      <c r="H28" s="130"/>
      <c r="K28" s="137"/>
    </row>
    <row r="29" spans="1:13" x14ac:dyDescent="0.3">
      <c r="A29" s="133" t="s">
        <v>2058</v>
      </c>
      <c r="B29" s="90" t="s">
        <v>2129</v>
      </c>
      <c r="C29" s="361" t="s">
        <v>2044</v>
      </c>
      <c r="D29" s="362"/>
      <c r="E29" s="434">
        <v>9000</v>
      </c>
      <c r="F29" s="91"/>
      <c r="G29" s="149">
        <f t="shared" si="1"/>
        <v>99290.48</v>
      </c>
      <c r="H29" s="130"/>
      <c r="K29" s="137"/>
    </row>
    <row r="30" spans="1:13" x14ac:dyDescent="0.3">
      <c r="A30" s="89" t="s">
        <v>2807</v>
      </c>
      <c r="B30" s="97" t="s">
        <v>2859</v>
      </c>
      <c r="C30" s="76" t="s">
        <v>2858</v>
      </c>
      <c r="D30" s="134"/>
      <c r="E30" s="91">
        <v>46600</v>
      </c>
      <c r="F30" s="91"/>
      <c r="G30" s="149">
        <f>G29-E30-F30</f>
        <v>52690.479999999996</v>
      </c>
      <c r="H30" s="94"/>
      <c r="K30" s="137"/>
    </row>
    <row r="31" spans="1:13" x14ac:dyDescent="0.3">
      <c r="A31" s="270"/>
      <c r="B31" s="228"/>
      <c r="C31" s="116"/>
      <c r="D31" s="141"/>
      <c r="E31" s="141"/>
      <c r="F31" s="141"/>
      <c r="G31" s="142"/>
      <c r="H31" s="150"/>
      <c r="J31" s="138"/>
      <c r="K31" s="140"/>
      <c r="L31" s="138"/>
      <c r="M31" s="138"/>
    </row>
    <row r="32" spans="1:13" ht="18" thickBot="1" x14ac:dyDescent="0.35">
      <c r="A32" s="89"/>
      <c r="B32" s="143"/>
      <c r="C32" s="131" t="s">
        <v>20</v>
      </c>
      <c r="D32" s="196">
        <f>SUM(D6:D31)</f>
        <v>3060000</v>
      </c>
      <c r="E32" s="180">
        <f>SUM(E6:E31)</f>
        <v>3007238.16</v>
      </c>
      <c r="F32" s="258">
        <f>SUM(F6:F31)</f>
        <v>0</v>
      </c>
      <c r="G32" s="144">
        <f>D32-E32-F32</f>
        <v>52761.839999999851</v>
      </c>
      <c r="H32" s="94"/>
      <c r="J32" s="138"/>
      <c r="K32" s="140"/>
      <c r="L32" s="138"/>
      <c r="M32" s="138"/>
    </row>
    <row r="33" spans="2:13" ht="18" thickTop="1" x14ac:dyDescent="0.3">
      <c r="B33" s="145"/>
      <c r="J33" s="138"/>
      <c r="K33" s="140"/>
      <c r="L33" s="138"/>
      <c r="M33" s="138"/>
    </row>
    <row r="34" spans="2:13" x14ac:dyDescent="0.3">
      <c r="J34" s="138"/>
      <c r="K34" s="138"/>
      <c r="L34" s="138"/>
      <c r="M34" s="138"/>
    </row>
    <row r="35" spans="2:13" x14ac:dyDescent="0.3">
      <c r="G35" s="132"/>
      <c r="J35" s="138"/>
      <c r="K35" s="138"/>
      <c r="L35" s="138"/>
      <c r="M35" s="138"/>
    </row>
    <row r="36" spans="2:13" x14ac:dyDescent="0.3">
      <c r="D36" s="132"/>
    </row>
    <row r="37" spans="2:13" x14ac:dyDescent="0.3">
      <c r="D37" s="132"/>
      <c r="G37" s="164"/>
    </row>
    <row r="38" spans="2:13" x14ac:dyDescent="0.3">
      <c r="D38" s="132"/>
    </row>
    <row r="39" spans="2:13" x14ac:dyDescent="0.3">
      <c r="D39" s="139"/>
    </row>
    <row r="40" spans="2:13" x14ac:dyDescent="0.3">
      <c r="D40" s="139"/>
    </row>
    <row r="42" spans="2:13" x14ac:dyDescent="0.3">
      <c r="D42" s="147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4" workbookViewId="0">
      <selection activeCell="P23" sqref="P23"/>
    </sheetView>
  </sheetViews>
  <sheetFormatPr defaultRowHeight="17.25" x14ac:dyDescent="0.3"/>
  <cols>
    <col min="1" max="1" width="8.7109375" style="78" customWidth="1"/>
    <col min="2" max="2" width="8.42578125" style="78" customWidth="1"/>
    <col min="3" max="3" width="23.85546875" style="78" customWidth="1"/>
    <col min="4" max="4" width="11.28515625" style="78" customWidth="1"/>
    <col min="5" max="5" width="12.28515625" style="78" customWidth="1"/>
    <col min="6" max="6" width="10.7109375" style="78" customWidth="1"/>
    <col min="7" max="7" width="13" style="78" customWidth="1"/>
    <col min="8" max="8" width="8.85546875" style="78" customWidth="1"/>
    <col min="9" max="9" width="9.140625" style="78"/>
    <col min="10" max="10" width="12.28515625" style="78" customWidth="1"/>
    <col min="11" max="11" width="11.140625" style="78" customWidth="1"/>
    <col min="12" max="16384" width="9.140625" style="78"/>
  </cols>
  <sheetData>
    <row r="1" spans="1:10" x14ac:dyDescent="0.3">
      <c r="A1" s="453" t="s">
        <v>209</v>
      </c>
      <c r="B1" s="453"/>
      <c r="C1" s="453"/>
      <c r="D1" s="453"/>
      <c r="E1" s="453"/>
      <c r="F1" s="453"/>
      <c r="G1" s="453"/>
      <c r="H1" s="77" t="s">
        <v>160</v>
      </c>
    </row>
    <row r="2" spans="1:10" x14ac:dyDescent="0.3">
      <c r="A2" s="453" t="s">
        <v>2664</v>
      </c>
      <c r="B2" s="453"/>
      <c r="C2" s="453"/>
      <c r="D2" s="453"/>
      <c r="E2" s="453"/>
      <c r="F2" s="453"/>
      <c r="G2" s="453"/>
      <c r="H2" s="453"/>
    </row>
    <row r="3" spans="1:10" x14ac:dyDescent="0.3">
      <c r="A3" s="77" t="s">
        <v>14</v>
      </c>
      <c r="B3" s="77"/>
      <c r="C3" s="77"/>
      <c r="D3" s="77"/>
      <c r="E3" s="77"/>
      <c r="F3" s="77"/>
      <c r="G3" s="77" t="s">
        <v>5</v>
      </c>
      <c r="H3" s="77" t="s">
        <v>142</v>
      </c>
    </row>
    <row r="4" spans="1:10" x14ac:dyDescent="0.3">
      <c r="A4" s="80" t="s">
        <v>16</v>
      </c>
      <c r="B4" s="80" t="s">
        <v>12</v>
      </c>
      <c r="C4" s="81" t="s">
        <v>4</v>
      </c>
      <c r="D4" s="82" t="s">
        <v>15</v>
      </c>
      <c r="E4" s="82" t="s">
        <v>1</v>
      </c>
      <c r="F4" s="82" t="s">
        <v>36</v>
      </c>
      <c r="G4" s="83" t="s">
        <v>2</v>
      </c>
      <c r="H4" s="81" t="s">
        <v>3</v>
      </c>
    </row>
    <row r="5" spans="1:10" ht="28.5" customHeight="1" x14ac:dyDescent="0.3">
      <c r="A5" s="84"/>
      <c r="B5" s="84"/>
      <c r="C5" s="85"/>
      <c r="D5" s="86" t="s">
        <v>0</v>
      </c>
      <c r="E5" s="86"/>
      <c r="F5" s="86" t="s">
        <v>34</v>
      </c>
      <c r="G5" s="87"/>
      <c r="H5" s="88" t="s">
        <v>17</v>
      </c>
    </row>
    <row r="6" spans="1:10" x14ac:dyDescent="0.3">
      <c r="A6" s="89"/>
      <c r="B6" s="90"/>
      <c r="C6" s="74" t="s">
        <v>204</v>
      </c>
      <c r="D6" s="136"/>
      <c r="E6" s="93"/>
      <c r="F6" s="93"/>
      <c r="G6" s="92"/>
      <c r="H6" s="94"/>
      <c r="J6" s="137"/>
    </row>
    <row r="7" spans="1:10" x14ac:dyDescent="0.3">
      <c r="A7" s="133"/>
      <c r="B7" s="90"/>
      <c r="C7" s="74" t="s">
        <v>2910</v>
      </c>
      <c r="D7" s="136"/>
      <c r="E7" s="134"/>
      <c r="F7" s="91"/>
      <c r="G7" s="135">
        <f>D7</f>
        <v>0</v>
      </c>
      <c r="H7" s="130"/>
      <c r="J7" s="137"/>
    </row>
    <row r="8" spans="1:10" x14ac:dyDescent="0.3">
      <c r="A8" s="133" t="s">
        <v>2807</v>
      </c>
      <c r="B8" s="97" t="s">
        <v>2904</v>
      </c>
      <c r="C8" s="49" t="s">
        <v>2912</v>
      </c>
      <c r="D8" s="136">
        <v>1998000</v>
      </c>
      <c r="E8" s="185"/>
      <c r="F8" s="91"/>
      <c r="G8" s="149">
        <f>G7+D8</f>
        <v>1998000</v>
      </c>
      <c r="H8" s="94" t="s">
        <v>160</v>
      </c>
      <c r="J8" s="137"/>
    </row>
    <row r="9" spans="1:10" x14ac:dyDescent="0.3">
      <c r="A9" s="133" t="s">
        <v>2867</v>
      </c>
      <c r="B9" s="97" t="s">
        <v>2911</v>
      </c>
      <c r="C9" s="49" t="s">
        <v>2913</v>
      </c>
      <c r="D9" s="134"/>
      <c r="E9" s="433">
        <v>935100</v>
      </c>
      <c r="F9" s="91"/>
      <c r="G9" s="149">
        <f>G8-E9</f>
        <v>1062900</v>
      </c>
      <c r="H9" s="150"/>
      <c r="J9" s="137"/>
    </row>
    <row r="10" spans="1:10" x14ac:dyDescent="0.3">
      <c r="A10" s="89"/>
      <c r="B10" s="97"/>
      <c r="C10" s="76"/>
      <c r="D10" s="134"/>
      <c r="E10" s="433"/>
      <c r="F10" s="91"/>
      <c r="G10" s="149"/>
      <c r="H10" s="150"/>
      <c r="J10" s="137"/>
    </row>
    <row r="11" spans="1:10" x14ac:dyDescent="0.3">
      <c r="A11" s="89"/>
      <c r="B11" s="97"/>
      <c r="C11" s="49"/>
      <c r="D11" s="134"/>
      <c r="E11" s="433"/>
      <c r="F11" s="91"/>
      <c r="G11" s="149"/>
      <c r="H11" s="150"/>
      <c r="J11" s="137"/>
    </row>
    <row r="12" spans="1:10" x14ac:dyDescent="0.3">
      <c r="A12" s="89"/>
      <c r="B12" s="97"/>
      <c r="C12" s="49"/>
      <c r="D12" s="134"/>
      <c r="E12" s="433"/>
      <c r="F12" s="91"/>
      <c r="G12" s="149"/>
      <c r="H12" s="150"/>
      <c r="J12" s="137"/>
    </row>
    <row r="13" spans="1:10" x14ac:dyDescent="0.3">
      <c r="A13" s="89"/>
      <c r="B13" s="97"/>
      <c r="C13" s="49"/>
      <c r="D13" s="134"/>
      <c r="E13" s="434"/>
      <c r="F13" s="91"/>
      <c r="G13" s="149"/>
      <c r="H13" s="150"/>
      <c r="J13" s="137"/>
    </row>
    <row r="14" spans="1:10" x14ac:dyDescent="0.3">
      <c r="A14" s="89"/>
      <c r="B14" s="97"/>
      <c r="C14" s="49"/>
      <c r="D14" s="136"/>
      <c r="E14" s="434"/>
      <c r="F14" s="91"/>
      <c r="G14" s="149"/>
      <c r="H14" s="150"/>
      <c r="J14" s="137"/>
    </row>
    <row r="15" spans="1:10" x14ac:dyDescent="0.3">
      <c r="A15" s="89"/>
      <c r="B15" s="97"/>
      <c r="C15" s="49"/>
      <c r="D15" s="136"/>
      <c r="E15" s="433"/>
      <c r="F15" s="91"/>
      <c r="G15" s="149"/>
      <c r="H15" s="150"/>
      <c r="J15" s="137"/>
    </row>
    <row r="16" spans="1:10" x14ac:dyDescent="0.3">
      <c r="A16" s="89"/>
      <c r="B16" s="97"/>
      <c r="C16" s="49"/>
      <c r="D16" s="136"/>
      <c r="E16" s="433"/>
      <c r="F16" s="91"/>
      <c r="G16" s="149"/>
      <c r="H16" s="150"/>
      <c r="J16" s="137"/>
    </row>
    <row r="17" spans="1:12" x14ac:dyDescent="0.3">
      <c r="A17" s="89"/>
      <c r="B17" s="97"/>
      <c r="C17" s="49"/>
      <c r="D17" s="136"/>
      <c r="E17" s="434"/>
      <c r="F17" s="91"/>
      <c r="G17" s="149"/>
      <c r="H17" s="150"/>
      <c r="J17" s="137"/>
    </row>
    <row r="18" spans="1:12" x14ac:dyDescent="0.3">
      <c r="A18" s="89"/>
      <c r="B18" s="97"/>
      <c r="C18" s="49"/>
      <c r="D18" s="136"/>
      <c r="E18" s="434"/>
      <c r="F18" s="91"/>
      <c r="G18" s="149"/>
      <c r="H18" s="150"/>
      <c r="J18" s="137"/>
    </row>
    <row r="19" spans="1:12" x14ac:dyDescent="0.3">
      <c r="A19" s="89"/>
      <c r="B19" s="97"/>
      <c r="C19" s="49"/>
      <c r="D19" s="134"/>
      <c r="E19" s="434"/>
      <c r="F19" s="91"/>
      <c r="G19" s="149"/>
      <c r="H19" s="150"/>
      <c r="J19" s="137"/>
    </row>
    <row r="20" spans="1:12" x14ac:dyDescent="0.3">
      <c r="A20" s="89"/>
      <c r="B20" s="97"/>
      <c r="C20" s="49"/>
      <c r="D20" s="134"/>
      <c r="E20" s="434"/>
      <c r="F20" s="91"/>
      <c r="G20" s="149"/>
      <c r="H20" s="130"/>
      <c r="J20" s="137"/>
    </row>
    <row r="21" spans="1:12" x14ac:dyDescent="0.3">
      <c r="A21" s="133"/>
      <c r="B21" s="90"/>
      <c r="C21" s="361"/>
      <c r="D21" s="362"/>
      <c r="E21" s="434"/>
      <c r="F21" s="91"/>
      <c r="G21" s="149"/>
      <c r="H21" s="130"/>
      <c r="J21" s="137"/>
    </row>
    <row r="22" spans="1:12" x14ac:dyDescent="0.3">
      <c r="A22" s="89"/>
      <c r="B22" s="97"/>
      <c r="C22" s="76"/>
      <c r="D22" s="134"/>
      <c r="E22" s="91"/>
      <c r="F22" s="91"/>
      <c r="G22" s="149"/>
      <c r="H22" s="94"/>
      <c r="J22" s="137"/>
    </row>
    <row r="23" spans="1:12" x14ac:dyDescent="0.3">
      <c r="A23" s="270"/>
      <c r="B23" s="228"/>
      <c r="C23" s="116"/>
      <c r="D23" s="141"/>
      <c r="E23" s="141"/>
      <c r="F23" s="141"/>
      <c r="G23" s="142"/>
      <c r="H23" s="150"/>
      <c r="I23" s="138"/>
      <c r="J23" s="140"/>
      <c r="K23" s="138"/>
      <c r="L23" s="138"/>
    </row>
    <row r="24" spans="1:12" ht="18" thickBot="1" x14ac:dyDescent="0.35">
      <c r="A24" s="89"/>
      <c r="B24" s="143"/>
      <c r="C24" s="131" t="s">
        <v>20</v>
      </c>
      <c r="D24" s="196">
        <f>SUM(D6:D23)</f>
        <v>1998000</v>
      </c>
      <c r="E24" s="180">
        <f>SUM(E6:E23)</f>
        <v>935100</v>
      </c>
      <c r="F24" s="258">
        <f>SUM(F6:F23)</f>
        <v>0</v>
      </c>
      <c r="G24" s="144">
        <f>D24-E24-F24</f>
        <v>1062900</v>
      </c>
      <c r="H24" s="94"/>
      <c r="I24" s="138"/>
      <c r="J24" s="140"/>
      <c r="K24" s="138"/>
      <c r="L24" s="138"/>
    </row>
    <row r="25" spans="1:12" ht="18" thickTop="1" x14ac:dyDescent="0.3">
      <c r="B25" s="145"/>
      <c r="I25" s="138"/>
      <c r="J25" s="140"/>
      <c r="K25" s="138"/>
      <c r="L25" s="138"/>
    </row>
    <row r="26" spans="1:12" x14ac:dyDescent="0.3">
      <c r="I26" s="138"/>
      <c r="J26" s="138"/>
      <c r="K26" s="138"/>
      <c r="L26" s="138"/>
    </row>
    <row r="27" spans="1:12" x14ac:dyDescent="0.3">
      <c r="G27" s="132"/>
      <c r="I27" s="138"/>
      <c r="J27" s="138"/>
      <c r="K27" s="138"/>
      <c r="L27" s="138"/>
    </row>
    <row r="28" spans="1:12" x14ac:dyDescent="0.3">
      <c r="D28" s="132"/>
    </row>
    <row r="29" spans="1:12" x14ac:dyDescent="0.3">
      <c r="D29" s="132"/>
      <c r="G29" s="164"/>
    </row>
    <row r="30" spans="1:12" x14ac:dyDescent="0.3">
      <c r="D30" s="132"/>
    </row>
    <row r="31" spans="1:12" x14ac:dyDescent="0.3">
      <c r="D31" s="139"/>
    </row>
    <row r="32" spans="1:12" x14ac:dyDescent="0.3">
      <c r="D32" s="139"/>
    </row>
    <row r="34" spans="4:4" x14ac:dyDescent="0.3">
      <c r="D34" s="147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workbookViewId="0">
      <selection activeCell="J41" sqref="J41:K53"/>
    </sheetView>
  </sheetViews>
  <sheetFormatPr defaultRowHeight="17.25" x14ac:dyDescent="0.3"/>
  <cols>
    <col min="1" max="1" width="8.7109375" style="78" customWidth="1"/>
    <col min="2" max="2" width="8.42578125" style="78" customWidth="1"/>
    <col min="3" max="3" width="26.42578125" style="78" customWidth="1"/>
    <col min="4" max="5" width="12.28515625" style="78" customWidth="1"/>
    <col min="6" max="6" width="9.140625" style="78" customWidth="1"/>
    <col min="7" max="7" width="11.85546875" style="78" customWidth="1"/>
    <col min="8" max="8" width="9.28515625" style="78" customWidth="1"/>
    <col min="9" max="9" width="9.140625" style="78"/>
    <col min="10" max="10" width="11.28515625" style="78" bestFit="1" customWidth="1"/>
    <col min="11" max="11" width="11.42578125" style="78" bestFit="1" customWidth="1"/>
    <col min="12" max="12" width="10.28515625" style="78" bestFit="1" customWidth="1"/>
    <col min="13" max="13" width="9.140625" style="78"/>
    <col min="14" max="14" width="14.42578125" style="78" customWidth="1"/>
    <col min="15" max="15" width="9.140625" style="78"/>
    <col min="16" max="16" width="12.28515625" style="78" customWidth="1"/>
    <col min="17" max="17" width="11.140625" style="78" customWidth="1"/>
    <col min="18" max="16384" width="9.140625" style="78"/>
  </cols>
  <sheetData>
    <row r="1" spans="1:8" x14ac:dyDescent="0.3">
      <c r="A1" s="453" t="s">
        <v>186</v>
      </c>
      <c r="B1" s="453"/>
      <c r="C1" s="453"/>
      <c r="D1" s="453"/>
      <c r="E1" s="453"/>
      <c r="F1" s="453"/>
      <c r="G1" s="453"/>
      <c r="H1" s="77" t="s">
        <v>160</v>
      </c>
    </row>
    <row r="2" spans="1:8" x14ac:dyDescent="0.3">
      <c r="A2" s="453" t="s">
        <v>2665</v>
      </c>
      <c r="B2" s="453"/>
      <c r="C2" s="453"/>
      <c r="D2" s="453"/>
      <c r="E2" s="453"/>
      <c r="F2" s="453"/>
      <c r="G2" s="453"/>
      <c r="H2" s="453"/>
    </row>
    <row r="3" spans="1:8" x14ac:dyDescent="0.3">
      <c r="A3" s="77" t="s">
        <v>14</v>
      </c>
      <c r="B3" s="77"/>
      <c r="C3" s="77"/>
      <c r="D3" s="77"/>
      <c r="E3" s="77"/>
      <c r="F3" s="77"/>
      <c r="G3" s="77" t="s">
        <v>5</v>
      </c>
      <c r="H3" s="77" t="s">
        <v>142</v>
      </c>
    </row>
    <row r="4" spans="1:8" x14ac:dyDescent="0.3">
      <c r="A4" s="80" t="s">
        <v>16</v>
      </c>
      <c r="B4" s="80" t="s">
        <v>12</v>
      </c>
      <c r="C4" s="81" t="s">
        <v>4</v>
      </c>
      <c r="D4" s="82" t="s">
        <v>15</v>
      </c>
      <c r="E4" s="82" t="s">
        <v>1</v>
      </c>
      <c r="F4" s="82" t="s">
        <v>36</v>
      </c>
      <c r="G4" s="83" t="s">
        <v>2</v>
      </c>
      <c r="H4" s="104" t="s">
        <v>3</v>
      </c>
    </row>
    <row r="5" spans="1:8" x14ac:dyDescent="0.3">
      <c r="A5" s="84"/>
      <c r="B5" s="84"/>
      <c r="C5" s="85"/>
      <c r="D5" s="86" t="s">
        <v>0</v>
      </c>
      <c r="E5" s="86"/>
      <c r="F5" s="86" t="s">
        <v>34</v>
      </c>
      <c r="G5" s="87"/>
      <c r="H5" s="107" t="s">
        <v>17</v>
      </c>
    </row>
    <row r="6" spans="1:8" x14ac:dyDescent="0.3">
      <c r="A6" s="89" t="s">
        <v>190</v>
      </c>
      <c r="B6" s="97" t="s">
        <v>195</v>
      </c>
      <c r="C6" s="74" t="s">
        <v>147</v>
      </c>
      <c r="D6" s="134">
        <v>226800</v>
      </c>
      <c r="E6" s="134"/>
      <c r="F6" s="91"/>
      <c r="G6" s="135">
        <v>226800</v>
      </c>
      <c r="H6" s="130" t="s">
        <v>171</v>
      </c>
    </row>
    <row r="7" spans="1:8" x14ac:dyDescent="0.3">
      <c r="A7" s="133" t="s">
        <v>254</v>
      </c>
      <c r="B7" s="90" t="s">
        <v>270</v>
      </c>
      <c r="C7" s="49" t="s">
        <v>255</v>
      </c>
      <c r="D7" s="136"/>
      <c r="E7" s="93">
        <v>75600</v>
      </c>
      <c r="F7" s="93"/>
      <c r="G7" s="92">
        <f>G6-E7</f>
        <v>151200</v>
      </c>
      <c r="H7" s="130"/>
    </row>
    <row r="8" spans="1:8" x14ac:dyDescent="0.3">
      <c r="A8" s="133" t="s">
        <v>392</v>
      </c>
      <c r="B8" s="90" t="s">
        <v>569</v>
      </c>
      <c r="C8" s="49" t="s">
        <v>387</v>
      </c>
      <c r="D8" s="136"/>
      <c r="E8" s="136">
        <v>37800</v>
      </c>
      <c r="F8" s="93"/>
      <c r="G8" s="92">
        <f>G7-E8</f>
        <v>113400</v>
      </c>
      <c r="H8" s="130"/>
    </row>
    <row r="9" spans="1:8" x14ac:dyDescent="0.3">
      <c r="A9" s="133" t="s">
        <v>658</v>
      </c>
      <c r="B9" s="90" t="s">
        <v>697</v>
      </c>
      <c r="C9" s="49" t="s">
        <v>656</v>
      </c>
      <c r="D9" s="136"/>
      <c r="E9" s="136">
        <v>37800</v>
      </c>
      <c r="F9" s="93"/>
      <c r="G9" s="92">
        <f>G8-E9</f>
        <v>75600</v>
      </c>
      <c r="H9" s="130"/>
    </row>
    <row r="10" spans="1:8" x14ac:dyDescent="0.3">
      <c r="A10" s="133" t="s">
        <v>901</v>
      </c>
      <c r="B10" s="97" t="s">
        <v>918</v>
      </c>
      <c r="C10" s="49" t="s">
        <v>892</v>
      </c>
      <c r="D10" s="136"/>
      <c r="E10" s="136">
        <v>37800</v>
      </c>
      <c r="F10" s="93"/>
      <c r="G10" s="92">
        <f>G9-E10</f>
        <v>37800</v>
      </c>
      <c r="H10" s="130"/>
    </row>
    <row r="11" spans="1:8" x14ac:dyDescent="0.3">
      <c r="A11" s="133" t="s">
        <v>1016</v>
      </c>
      <c r="B11" s="97" t="s">
        <v>1017</v>
      </c>
      <c r="C11" s="74" t="s">
        <v>1018</v>
      </c>
      <c r="D11" s="136">
        <v>226800</v>
      </c>
      <c r="E11" s="136"/>
      <c r="F11" s="93"/>
      <c r="G11" s="92">
        <f>G10+D11</f>
        <v>264600</v>
      </c>
      <c r="H11" s="130" t="s">
        <v>1287</v>
      </c>
    </row>
    <row r="12" spans="1:8" x14ac:dyDescent="0.3">
      <c r="A12" s="133" t="s">
        <v>1065</v>
      </c>
      <c r="B12" s="97" t="s">
        <v>1085</v>
      </c>
      <c r="C12" s="49" t="s">
        <v>1064</v>
      </c>
      <c r="D12" s="136"/>
      <c r="E12" s="136">
        <v>37800</v>
      </c>
      <c r="F12" s="93"/>
      <c r="G12" s="92">
        <f>G11-E12</f>
        <v>226800</v>
      </c>
      <c r="H12" s="130"/>
    </row>
    <row r="13" spans="1:8" x14ac:dyDescent="0.3">
      <c r="A13" s="133" t="s">
        <v>1202</v>
      </c>
      <c r="B13" s="97" t="s">
        <v>1241</v>
      </c>
      <c r="C13" s="49" t="s">
        <v>1235</v>
      </c>
      <c r="D13" s="136"/>
      <c r="E13" s="136">
        <v>37800</v>
      </c>
      <c r="F13" s="93"/>
      <c r="G13" s="92">
        <f>G12-E13</f>
        <v>189000</v>
      </c>
      <c r="H13" s="130"/>
    </row>
    <row r="14" spans="1:8" x14ac:dyDescent="0.3">
      <c r="A14" s="133" t="s">
        <v>1408</v>
      </c>
      <c r="B14" s="97" t="s">
        <v>1421</v>
      </c>
      <c r="C14" s="49" t="s">
        <v>1420</v>
      </c>
      <c r="D14" s="136"/>
      <c r="E14" s="136">
        <v>37800</v>
      </c>
      <c r="F14" s="93"/>
      <c r="G14" s="92">
        <f>G13-E14</f>
        <v>151200</v>
      </c>
      <c r="H14" s="130"/>
    </row>
    <row r="15" spans="1:8" x14ac:dyDescent="0.3">
      <c r="A15" s="133" t="s">
        <v>1606</v>
      </c>
      <c r="B15" s="90" t="s">
        <v>1633</v>
      </c>
      <c r="C15" s="49" t="s">
        <v>1631</v>
      </c>
      <c r="D15" s="136"/>
      <c r="E15" s="136">
        <v>37800</v>
      </c>
      <c r="F15" s="93"/>
      <c r="G15" s="92">
        <f>G14-E15</f>
        <v>113400</v>
      </c>
      <c r="H15" s="130"/>
    </row>
    <row r="16" spans="1:8" x14ac:dyDescent="0.3">
      <c r="A16" s="133" t="s">
        <v>1950</v>
      </c>
      <c r="B16" s="90" t="s">
        <v>1981</v>
      </c>
      <c r="C16" s="49" t="s">
        <v>1978</v>
      </c>
      <c r="D16" s="136"/>
      <c r="E16" s="136">
        <v>37800</v>
      </c>
      <c r="F16" s="93"/>
      <c r="G16" s="92">
        <f>G15-E16</f>
        <v>75600</v>
      </c>
      <c r="H16" s="130"/>
    </row>
    <row r="17" spans="1:16" x14ac:dyDescent="0.3">
      <c r="A17" s="133" t="s">
        <v>2221</v>
      </c>
      <c r="B17" s="90" t="s">
        <v>2254</v>
      </c>
      <c r="C17" s="49" t="s">
        <v>2070</v>
      </c>
      <c r="D17" s="136"/>
      <c r="E17" s="136">
        <v>37800</v>
      </c>
      <c r="F17" s="136"/>
      <c r="G17" s="92">
        <f>G16-E17-F17</f>
        <v>37800</v>
      </c>
      <c r="H17" s="130"/>
    </row>
    <row r="18" spans="1:16" ht="18.75" x14ac:dyDescent="0.3">
      <c r="A18" s="133" t="s">
        <v>2741</v>
      </c>
      <c r="B18" s="90" t="s">
        <v>2784</v>
      </c>
      <c r="C18" s="49" t="s">
        <v>2783</v>
      </c>
      <c r="D18" s="136"/>
      <c r="E18" s="136">
        <v>37800</v>
      </c>
      <c r="F18" s="136"/>
      <c r="G18" s="256">
        <f>G17-E18-F18</f>
        <v>0</v>
      </c>
      <c r="H18" s="130"/>
    </row>
    <row r="19" spans="1:16" x14ac:dyDescent="0.3">
      <c r="A19" s="133"/>
      <c r="B19" s="90"/>
      <c r="C19" s="49"/>
      <c r="D19" s="136"/>
      <c r="E19" s="148"/>
      <c r="F19" s="93"/>
      <c r="G19" s="92"/>
      <c r="H19" s="130"/>
    </row>
    <row r="20" spans="1:16" x14ac:dyDescent="0.3">
      <c r="A20" s="133" t="s">
        <v>281</v>
      </c>
      <c r="B20" s="90" t="s">
        <v>289</v>
      </c>
      <c r="C20" s="74" t="s">
        <v>148</v>
      </c>
      <c r="D20" s="134">
        <v>737100</v>
      </c>
      <c r="E20" s="134"/>
      <c r="F20" s="91"/>
      <c r="G20" s="135">
        <f>D20</f>
        <v>737100</v>
      </c>
      <c r="H20" s="130" t="s">
        <v>171</v>
      </c>
    </row>
    <row r="21" spans="1:16" x14ac:dyDescent="0.3">
      <c r="A21" s="89" t="s">
        <v>352</v>
      </c>
      <c r="B21" s="90" t="s">
        <v>353</v>
      </c>
      <c r="C21" s="74" t="s">
        <v>351</v>
      </c>
      <c r="D21" s="136">
        <v>1020600</v>
      </c>
      <c r="E21" s="93"/>
      <c r="F21" s="93"/>
      <c r="G21" s="135">
        <f>G20+D21</f>
        <v>1757700</v>
      </c>
      <c r="H21" s="130"/>
    </row>
    <row r="22" spans="1:16" x14ac:dyDescent="0.3">
      <c r="A22" s="89" t="s">
        <v>357</v>
      </c>
      <c r="B22" s="90" t="s">
        <v>358</v>
      </c>
      <c r="C22" s="49" t="s">
        <v>255</v>
      </c>
      <c r="D22" s="136"/>
      <c r="E22" s="93">
        <v>585900</v>
      </c>
      <c r="F22" s="93"/>
      <c r="G22" s="92">
        <f>G21-E22</f>
        <v>1171800</v>
      </c>
      <c r="H22" s="94"/>
      <c r="P22" s="137"/>
    </row>
    <row r="23" spans="1:16" x14ac:dyDescent="0.3">
      <c r="A23" s="133" t="s">
        <v>392</v>
      </c>
      <c r="B23" s="90" t="s">
        <v>571</v>
      </c>
      <c r="C23" s="49" t="s">
        <v>387</v>
      </c>
      <c r="D23" s="136"/>
      <c r="E23" s="93">
        <v>292950</v>
      </c>
      <c r="F23" s="93"/>
      <c r="G23" s="92">
        <f>G22-E23</f>
        <v>878850</v>
      </c>
      <c r="H23" s="94"/>
      <c r="P23" s="137"/>
    </row>
    <row r="24" spans="1:16" x14ac:dyDescent="0.3">
      <c r="A24" s="133" t="s">
        <v>658</v>
      </c>
      <c r="B24" s="90" t="s">
        <v>698</v>
      </c>
      <c r="C24" s="49" t="s">
        <v>656</v>
      </c>
      <c r="D24" s="136"/>
      <c r="E24" s="93">
        <v>292950</v>
      </c>
      <c r="F24" s="93"/>
      <c r="G24" s="92">
        <f>G23-E24</f>
        <v>585900</v>
      </c>
      <c r="H24" s="94"/>
      <c r="P24" s="137"/>
    </row>
    <row r="25" spans="1:16" x14ac:dyDescent="0.3">
      <c r="A25" s="133" t="s">
        <v>901</v>
      </c>
      <c r="B25" s="97" t="s">
        <v>924</v>
      </c>
      <c r="C25" s="49" t="s">
        <v>892</v>
      </c>
      <c r="D25" s="136"/>
      <c r="E25" s="93">
        <v>292950</v>
      </c>
      <c r="F25" s="93"/>
      <c r="G25" s="92">
        <f>G24-E25</f>
        <v>292950</v>
      </c>
      <c r="H25" s="94"/>
      <c r="P25" s="137"/>
    </row>
    <row r="26" spans="1:16" x14ac:dyDescent="0.3">
      <c r="A26" s="133" t="s">
        <v>1065</v>
      </c>
      <c r="B26" s="97" t="s">
        <v>1088</v>
      </c>
      <c r="C26" s="49" t="s">
        <v>1064</v>
      </c>
      <c r="D26" s="136"/>
      <c r="E26" s="93">
        <v>292950</v>
      </c>
      <c r="F26" s="93"/>
      <c r="G26" s="240">
        <f>G25-E26</f>
        <v>0</v>
      </c>
      <c r="H26" s="94"/>
      <c r="P26" s="137"/>
    </row>
    <row r="27" spans="1:16" x14ac:dyDescent="0.3">
      <c r="A27" s="133" t="s">
        <v>1186</v>
      </c>
      <c r="B27" s="97" t="s">
        <v>1193</v>
      </c>
      <c r="C27" s="74" t="s">
        <v>351</v>
      </c>
      <c r="D27" s="134">
        <v>737100</v>
      </c>
      <c r="E27" s="93"/>
      <c r="F27" s="93"/>
      <c r="G27" s="92">
        <f>G26+D27</f>
        <v>737100</v>
      </c>
      <c r="H27" s="94" t="s">
        <v>1295</v>
      </c>
      <c r="P27" s="137"/>
    </row>
    <row r="28" spans="1:16" x14ac:dyDescent="0.3">
      <c r="A28" s="89" t="s">
        <v>1297</v>
      </c>
      <c r="B28" s="97" t="s">
        <v>1298</v>
      </c>
      <c r="C28" s="259" t="s">
        <v>1299</v>
      </c>
      <c r="D28" s="136">
        <v>1020600</v>
      </c>
      <c r="E28" s="93"/>
      <c r="F28" s="93"/>
      <c r="G28" s="92">
        <f>G27+D28</f>
        <v>1757700</v>
      </c>
      <c r="H28" s="94" t="s">
        <v>1295</v>
      </c>
      <c r="P28" s="137"/>
    </row>
    <row r="29" spans="1:16" x14ac:dyDescent="0.3">
      <c r="A29" s="89" t="s">
        <v>1443</v>
      </c>
      <c r="B29" s="97" t="s">
        <v>1455</v>
      </c>
      <c r="C29" s="76" t="s">
        <v>1456</v>
      </c>
      <c r="D29" s="136"/>
      <c r="E29" s="93">
        <v>548100</v>
      </c>
      <c r="F29" s="93"/>
      <c r="G29" s="92">
        <f>G28-E29</f>
        <v>1209600</v>
      </c>
      <c r="H29" s="94"/>
      <c r="P29" s="137"/>
    </row>
    <row r="30" spans="1:16" x14ac:dyDescent="0.3">
      <c r="A30" s="133" t="s">
        <v>1606</v>
      </c>
      <c r="B30" s="97" t="s">
        <v>1637</v>
      </c>
      <c r="C30" s="49" t="s">
        <v>1631</v>
      </c>
      <c r="D30" s="136"/>
      <c r="E30" s="93">
        <v>274050</v>
      </c>
      <c r="F30" s="93"/>
      <c r="G30" s="92">
        <f>G29-E30</f>
        <v>935550</v>
      </c>
      <c r="H30" s="94"/>
      <c r="P30" s="137"/>
    </row>
    <row r="31" spans="1:16" x14ac:dyDescent="0.3">
      <c r="A31" s="133" t="s">
        <v>1950</v>
      </c>
      <c r="B31" s="97" t="s">
        <v>1988</v>
      </c>
      <c r="C31" s="76" t="s">
        <v>1983</v>
      </c>
      <c r="D31" s="136"/>
      <c r="E31" s="93">
        <v>274050</v>
      </c>
      <c r="F31" s="93"/>
      <c r="G31" s="92">
        <f>G30-E31</f>
        <v>661500</v>
      </c>
      <c r="H31" s="94"/>
      <c r="P31" s="137"/>
    </row>
    <row r="32" spans="1:16" x14ac:dyDescent="0.3">
      <c r="A32" s="133" t="s">
        <v>2251</v>
      </c>
      <c r="B32" s="97" t="s">
        <v>2263</v>
      </c>
      <c r="C32" s="49" t="s">
        <v>2070</v>
      </c>
      <c r="D32" s="136"/>
      <c r="E32" s="93">
        <v>274050</v>
      </c>
      <c r="F32" s="136"/>
      <c r="G32" s="92">
        <f>G31-E32-F32</f>
        <v>387450</v>
      </c>
      <c r="H32" s="94"/>
      <c r="P32" s="137"/>
    </row>
    <row r="33" spans="1:18" x14ac:dyDescent="0.3">
      <c r="A33" s="133" t="s">
        <v>2789</v>
      </c>
      <c r="B33" s="97" t="s">
        <v>2790</v>
      </c>
      <c r="C33" s="49" t="s">
        <v>2071</v>
      </c>
      <c r="D33" s="136"/>
      <c r="E33" s="93">
        <v>274050</v>
      </c>
      <c r="F33" s="136"/>
      <c r="G33" s="92">
        <f>G32-E33-F33</f>
        <v>113400</v>
      </c>
      <c r="H33" s="94"/>
      <c r="P33" s="137"/>
    </row>
    <row r="34" spans="1:18" ht="18.75" x14ac:dyDescent="0.3">
      <c r="A34" s="133"/>
      <c r="B34" s="97"/>
      <c r="C34" s="76"/>
      <c r="D34" s="283">
        <v>-112450</v>
      </c>
      <c r="E34" s="93"/>
      <c r="F34" s="93"/>
      <c r="G34" s="256">
        <f>G33+D34</f>
        <v>950</v>
      </c>
      <c r="H34" s="94"/>
      <c r="P34" s="137"/>
    </row>
    <row r="35" spans="1:18" x14ac:dyDescent="0.3">
      <c r="A35" s="89"/>
      <c r="B35" s="97"/>
      <c r="C35" s="259"/>
      <c r="D35" s="136"/>
      <c r="E35" s="93"/>
      <c r="F35" s="93"/>
      <c r="G35" s="92"/>
      <c r="H35" s="94"/>
      <c r="P35" s="137"/>
    </row>
    <row r="36" spans="1:18" x14ac:dyDescent="0.3">
      <c r="A36" s="89" t="s">
        <v>376</v>
      </c>
      <c r="B36" s="90" t="s">
        <v>388</v>
      </c>
      <c r="C36" s="74" t="s">
        <v>389</v>
      </c>
      <c r="D36" s="136">
        <v>1159650</v>
      </c>
      <c r="E36" s="93"/>
      <c r="F36" s="93"/>
      <c r="G36" s="92">
        <f>D36</f>
        <v>1159650</v>
      </c>
      <c r="H36" s="94"/>
      <c r="P36" s="137"/>
    </row>
    <row r="37" spans="1:18" x14ac:dyDescent="0.3">
      <c r="A37" s="89" t="s">
        <v>392</v>
      </c>
      <c r="B37" s="90" t="s">
        <v>391</v>
      </c>
      <c r="C37" s="49" t="s">
        <v>390</v>
      </c>
      <c r="D37" s="91">
        <v>31050</v>
      </c>
      <c r="E37" s="93"/>
      <c r="F37" s="91"/>
      <c r="G37" s="92">
        <f>G36+D37</f>
        <v>1190700</v>
      </c>
      <c r="H37" s="94"/>
      <c r="J37" s="138"/>
      <c r="K37" s="138"/>
      <c r="L37" s="138"/>
      <c r="M37" s="138"/>
      <c r="N37" s="139"/>
      <c r="O37" s="138"/>
      <c r="P37" s="140"/>
      <c r="Q37" s="138"/>
      <c r="R37" s="138"/>
    </row>
    <row r="38" spans="1:18" x14ac:dyDescent="0.3">
      <c r="A38" s="89" t="s">
        <v>615</v>
      </c>
      <c r="B38" s="97" t="s">
        <v>623</v>
      </c>
      <c r="C38" s="49" t="s">
        <v>624</v>
      </c>
      <c r="D38" s="91"/>
      <c r="E38" s="91">
        <v>1134000</v>
      </c>
      <c r="F38" s="91"/>
      <c r="G38" s="92">
        <f>G37-E38</f>
        <v>56700</v>
      </c>
      <c r="H38" s="94"/>
      <c r="J38" s="138"/>
      <c r="K38" s="138"/>
      <c r="L38" s="138"/>
      <c r="M38" s="138"/>
      <c r="N38" s="139"/>
      <c r="O38" s="138"/>
      <c r="P38" s="140"/>
      <c r="Q38" s="138"/>
      <c r="R38" s="138"/>
    </row>
    <row r="39" spans="1:18" x14ac:dyDescent="0.3">
      <c r="A39" s="89" t="s">
        <v>742</v>
      </c>
      <c r="B39" s="97" t="s">
        <v>743</v>
      </c>
      <c r="C39" s="74" t="s">
        <v>744</v>
      </c>
      <c r="D39" s="91">
        <v>1190700</v>
      </c>
      <c r="E39" s="91"/>
      <c r="F39" s="91"/>
      <c r="G39" s="92">
        <f>G38+D39</f>
        <v>1247400</v>
      </c>
      <c r="H39" s="94"/>
      <c r="J39" s="138"/>
      <c r="K39" s="138"/>
      <c r="L39" s="138"/>
      <c r="M39" s="138"/>
      <c r="N39" s="139"/>
      <c r="O39" s="138"/>
      <c r="P39" s="140"/>
      <c r="Q39" s="138"/>
      <c r="R39" s="138"/>
    </row>
    <row r="40" spans="1:18" x14ac:dyDescent="0.3">
      <c r="A40" s="89" t="s">
        <v>851</v>
      </c>
      <c r="B40" s="90" t="s">
        <v>855</v>
      </c>
      <c r="C40" s="49" t="s">
        <v>656</v>
      </c>
      <c r="D40" s="136"/>
      <c r="E40" s="93">
        <v>378000</v>
      </c>
      <c r="F40" s="91"/>
      <c r="G40" s="92">
        <f>G39-E40</f>
        <v>869400</v>
      </c>
      <c r="H40" s="94"/>
      <c r="J40" s="138"/>
      <c r="K40" s="138"/>
      <c r="L40" s="138"/>
      <c r="M40" s="138"/>
      <c r="N40" s="139"/>
      <c r="O40" s="138"/>
      <c r="P40" s="140"/>
      <c r="Q40" s="138"/>
      <c r="R40" s="138"/>
    </row>
    <row r="41" spans="1:18" x14ac:dyDescent="0.3">
      <c r="A41" s="133" t="s">
        <v>901</v>
      </c>
      <c r="B41" s="97" t="s">
        <v>925</v>
      </c>
      <c r="C41" s="49" t="s">
        <v>892</v>
      </c>
      <c r="D41" s="136"/>
      <c r="E41" s="93">
        <v>378000</v>
      </c>
      <c r="F41" s="91"/>
      <c r="G41" s="92">
        <f>G40-E41</f>
        <v>491400</v>
      </c>
      <c r="H41" s="94"/>
      <c r="J41" s="138"/>
      <c r="K41" s="138"/>
      <c r="L41" s="138"/>
      <c r="M41" s="138"/>
      <c r="N41" s="139"/>
      <c r="O41" s="138"/>
      <c r="P41" s="140"/>
      <c r="Q41" s="138"/>
      <c r="R41" s="138"/>
    </row>
    <row r="42" spans="1:18" x14ac:dyDescent="0.3">
      <c r="A42" s="133" t="s">
        <v>1065</v>
      </c>
      <c r="B42" s="97" t="s">
        <v>1089</v>
      </c>
      <c r="C42" s="49" t="s">
        <v>1064</v>
      </c>
      <c r="D42" s="136"/>
      <c r="E42" s="93">
        <v>378000</v>
      </c>
      <c r="F42" s="91"/>
      <c r="G42" s="92">
        <f>G41-E42</f>
        <v>113400</v>
      </c>
      <c r="H42" s="94"/>
      <c r="J42" s="138"/>
      <c r="K42" s="138"/>
      <c r="L42" s="138"/>
      <c r="M42" s="138"/>
      <c r="N42" s="139"/>
      <c r="O42" s="138"/>
      <c r="P42" s="140"/>
      <c r="Q42" s="138"/>
      <c r="R42" s="138"/>
    </row>
    <row r="43" spans="1:18" x14ac:dyDescent="0.3">
      <c r="A43" s="133" t="s">
        <v>1207</v>
      </c>
      <c r="B43" s="97"/>
      <c r="C43" s="74" t="s">
        <v>1206</v>
      </c>
      <c r="D43" s="136">
        <v>1134000</v>
      </c>
      <c r="E43" s="93"/>
      <c r="F43" s="91"/>
      <c r="G43" s="92">
        <f>G42+D43</f>
        <v>1247400</v>
      </c>
      <c r="H43" s="94" t="s">
        <v>1296</v>
      </c>
      <c r="J43" s="138"/>
      <c r="K43" s="138"/>
      <c r="L43" s="138"/>
      <c r="M43" s="138"/>
      <c r="N43" s="139"/>
      <c r="O43" s="138"/>
      <c r="P43" s="140"/>
      <c r="Q43" s="138"/>
      <c r="R43" s="138"/>
    </row>
    <row r="44" spans="1:18" x14ac:dyDescent="0.3">
      <c r="A44" s="133" t="s">
        <v>1443</v>
      </c>
      <c r="B44" s="97" t="s">
        <v>1457</v>
      </c>
      <c r="C44" s="76" t="s">
        <v>1456</v>
      </c>
      <c r="D44" s="136"/>
      <c r="E44" s="93">
        <v>750207.87</v>
      </c>
      <c r="F44" s="91"/>
      <c r="G44" s="92">
        <f>G43-E44</f>
        <v>497192.13</v>
      </c>
      <c r="H44" s="94"/>
      <c r="J44" s="138"/>
      <c r="K44" s="138"/>
      <c r="L44" s="138"/>
      <c r="M44" s="138"/>
      <c r="N44" s="139"/>
      <c r="O44" s="138"/>
      <c r="P44" s="140"/>
      <c r="Q44" s="138"/>
      <c r="R44" s="138"/>
    </row>
    <row r="45" spans="1:18" x14ac:dyDescent="0.3">
      <c r="A45" s="133" t="s">
        <v>1606</v>
      </c>
      <c r="B45" s="97" t="s">
        <v>1638</v>
      </c>
      <c r="C45" s="49" t="s">
        <v>1631</v>
      </c>
      <c r="D45" s="136"/>
      <c r="E45" s="93">
        <v>368550</v>
      </c>
      <c r="F45" s="91"/>
      <c r="G45" s="92">
        <f>G44-E45</f>
        <v>128642.13</v>
      </c>
      <c r="H45" s="94"/>
      <c r="J45" s="138"/>
      <c r="K45" s="138"/>
      <c r="L45" s="138"/>
      <c r="M45" s="138"/>
      <c r="N45" s="139"/>
      <c r="O45" s="138"/>
      <c r="P45" s="140"/>
      <c r="Q45" s="138"/>
      <c r="R45" s="138"/>
    </row>
    <row r="46" spans="1:18" ht="18.75" x14ac:dyDescent="0.3">
      <c r="A46" s="133" t="s">
        <v>2799</v>
      </c>
      <c r="B46" s="97" t="s">
        <v>2801</v>
      </c>
      <c r="C46" s="49" t="s">
        <v>2802</v>
      </c>
      <c r="D46" s="136"/>
      <c r="E46" s="93">
        <v>128642.13</v>
      </c>
      <c r="F46" s="91"/>
      <c r="G46" s="256">
        <f>G45-E46</f>
        <v>0</v>
      </c>
      <c r="H46" s="94"/>
      <c r="J46" s="138"/>
      <c r="K46" s="138"/>
      <c r="L46" s="138"/>
      <c r="M46" s="138"/>
      <c r="N46" s="139"/>
      <c r="O46" s="138"/>
      <c r="P46" s="140"/>
      <c r="Q46" s="138"/>
      <c r="R46" s="138"/>
    </row>
    <row r="47" spans="1:18" ht="18.75" x14ac:dyDescent="0.3">
      <c r="A47" s="133" t="s">
        <v>2807</v>
      </c>
      <c r="B47" s="97" t="s">
        <v>2904</v>
      </c>
      <c r="C47" s="74" t="s">
        <v>2905</v>
      </c>
      <c r="D47" s="136">
        <v>1080000</v>
      </c>
      <c r="E47" s="93"/>
      <c r="F47" s="91"/>
      <c r="G47" s="262">
        <f>D47</f>
        <v>1080000</v>
      </c>
      <c r="H47" s="94"/>
      <c r="J47" s="139"/>
      <c r="K47" s="138"/>
      <c r="L47" s="138"/>
      <c r="M47" s="138"/>
      <c r="N47" s="139"/>
      <c r="O47" s="138"/>
      <c r="P47" s="140"/>
      <c r="Q47" s="138"/>
      <c r="R47" s="138"/>
    </row>
    <row r="48" spans="1:18" ht="18.75" x14ac:dyDescent="0.3">
      <c r="A48" s="133" t="s">
        <v>2867</v>
      </c>
      <c r="B48" s="97" t="s">
        <v>2893</v>
      </c>
      <c r="C48" s="49" t="s">
        <v>2894</v>
      </c>
      <c r="D48" s="136"/>
      <c r="E48" s="93">
        <v>702000</v>
      </c>
      <c r="F48" s="91"/>
      <c r="G48" s="256">
        <f>G47-E48</f>
        <v>378000</v>
      </c>
      <c r="H48" s="94"/>
      <c r="J48" s="139"/>
      <c r="K48" s="138"/>
      <c r="L48" s="138"/>
      <c r="M48" s="138"/>
      <c r="N48" s="139"/>
      <c r="O48" s="138"/>
      <c r="P48" s="140"/>
      <c r="Q48" s="138"/>
      <c r="R48" s="138"/>
    </row>
    <row r="49" spans="1:18" x14ac:dyDescent="0.3">
      <c r="A49" s="133"/>
      <c r="B49" s="90"/>
      <c r="C49" s="74"/>
      <c r="D49" s="134"/>
      <c r="E49" s="91"/>
      <c r="F49" s="91"/>
      <c r="G49" s="92"/>
      <c r="H49" s="94"/>
      <c r="J49" s="146"/>
      <c r="K49" s="138"/>
      <c r="L49" s="138"/>
      <c r="M49" s="138"/>
      <c r="N49" s="139"/>
      <c r="O49" s="138"/>
      <c r="P49" s="140"/>
      <c r="Q49" s="138"/>
      <c r="R49" s="138"/>
    </row>
    <row r="50" spans="1:18" ht="18" thickBot="1" x14ac:dyDescent="0.35">
      <c r="A50" s="89"/>
      <c r="B50" s="143"/>
      <c r="C50" s="131" t="s">
        <v>6</v>
      </c>
      <c r="D50" s="144">
        <f>SUM(D6:D49)</f>
        <v>8451950</v>
      </c>
      <c r="E50" s="144">
        <f>SUM(E6:E49)</f>
        <v>8073000</v>
      </c>
      <c r="F50" s="170">
        <f>SUM(F6:F49)</f>
        <v>0</v>
      </c>
      <c r="G50" s="144">
        <f>D50-E50-F50</f>
        <v>378950</v>
      </c>
      <c r="H50" s="94"/>
      <c r="J50" s="138"/>
      <c r="K50" s="138"/>
      <c r="L50" s="138"/>
      <c r="M50" s="138"/>
      <c r="N50" s="139"/>
      <c r="O50" s="138"/>
      <c r="P50" s="140"/>
      <c r="Q50" s="138"/>
      <c r="R50" s="138"/>
    </row>
    <row r="51" spans="1:18" ht="18" thickTop="1" x14ac:dyDescent="0.3">
      <c r="B51" s="145"/>
      <c r="J51" s="138"/>
      <c r="K51" s="139"/>
      <c r="L51" s="138"/>
      <c r="M51" s="138"/>
      <c r="N51" s="139"/>
      <c r="O51" s="138"/>
      <c r="P51" s="140"/>
      <c r="Q51" s="138"/>
      <c r="R51" s="138"/>
    </row>
    <row r="52" spans="1:18" x14ac:dyDescent="0.3">
      <c r="J52" s="138"/>
      <c r="K52" s="138"/>
      <c r="L52" s="138"/>
      <c r="M52" s="138"/>
      <c r="N52" s="146"/>
      <c r="O52" s="138"/>
      <c r="P52" s="138"/>
      <c r="Q52" s="138"/>
      <c r="R52" s="138"/>
    </row>
    <row r="53" spans="1:18" x14ac:dyDescent="0.3">
      <c r="J53" s="138"/>
      <c r="K53" s="138"/>
      <c r="L53" s="138"/>
      <c r="M53" s="138"/>
      <c r="N53" s="138"/>
      <c r="O53" s="138"/>
      <c r="P53" s="138"/>
      <c r="Q53" s="138"/>
      <c r="R53" s="138"/>
    </row>
    <row r="54" spans="1:18" x14ac:dyDescent="0.3">
      <c r="D54" s="132"/>
    </row>
    <row r="55" spans="1:18" x14ac:dyDescent="0.3">
      <c r="D55" s="132"/>
    </row>
    <row r="56" spans="1:18" x14ac:dyDescent="0.3">
      <c r="D56" s="132"/>
    </row>
    <row r="57" spans="1:18" x14ac:dyDescent="0.3">
      <c r="D57" s="139"/>
    </row>
    <row r="58" spans="1:18" x14ac:dyDescent="0.3">
      <c r="D58" s="139"/>
    </row>
    <row r="60" spans="1:18" x14ac:dyDescent="0.3">
      <c r="D60" s="147"/>
    </row>
  </sheetData>
  <mergeCells count="2">
    <mergeCell ref="A1:G1"/>
    <mergeCell ref="A2:H2"/>
  </mergeCells>
  <pageMargins left="0.41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L24" sqref="L24"/>
    </sheetView>
  </sheetViews>
  <sheetFormatPr defaultRowHeight="17.25" x14ac:dyDescent="0.3"/>
  <cols>
    <col min="1" max="1" width="8.7109375" style="78" customWidth="1"/>
    <col min="2" max="2" width="7.42578125" style="78" customWidth="1"/>
    <col min="3" max="3" width="29" style="78" customWidth="1"/>
    <col min="4" max="4" width="11.7109375" style="78" customWidth="1"/>
    <col min="5" max="5" width="12.28515625" style="78" customWidth="1"/>
    <col min="6" max="6" width="9.140625" style="78" customWidth="1"/>
    <col min="7" max="7" width="11.85546875" style="78" customWidth="1"/>
    <col min="8" max="8" width="9.28515625" style="78" customWidth="1"/>
    <col min="9" max="9" width="11.140625" style="78" customWidth="1"/>
    <col min="10" max="16384" width="9.140625" style="78"/>
  </cols>
  <sheetData>
    <row r="1" spans="1:10" x14ac:dyDescent="0.3">
      <c r="A1" s="453" t="s">
        <v>186</v>
      </c>
      <c r="B1" s="453"/>
      <c r="C1" s="453"/>
      <c r="D1" s="453"/>
      <c r="E1" s="453"/>
      <c r="F1" s="453"/>
      <c r="G1" s="453"/>
      <c r="H1" s="77" t="s">
        <v>160</v>
      </c>
    </row>
    <row r="2" spans="1:10" x14ac:dyDescent="0.3">
      <c r="A2" s="453" t="s">
        <v>2665</v>
      </c>
      <c r="B2" s="453"/>
      <c r="C2" s="453"/>
      <c r="D2" s="453"/>
      <c r="E2" s="453"/>
      <c r="F2" s="453"/>
      <c r="G2" s="453"/>
      <c r="H2" s="453"/>
    </row>
    <row r="3" spans="1:10" x14ac:dyDescent="0.3">
      <c r="A3" s="77" t="s">
        <v>14</v>
      </c>
      <c r="B3" s="77"/>
      <c r="C3" s="77"/>
      <c r="D3" s="77"/>
      <c r="E3" s="77"/>
      <c r="F3" s="77"/>
      <c r="G3" s="77" t="s">
        <v>5</v>
      </c>
      <c r="H3" s="77" t="s">
        <v>142</v>
      </c>
    </row>
    <row r="4" spans="1:10" x14ac:dyDescent="0.3">
      <c r="A4" s="80" t="s">
        <v>16</v>
      </c>
      <c r="B4" s="80" t="s">
        <v>12</v>
      </c>
      <c r="C4" s="81" t="s">
        <v>4</v>
      </c>
      <c r="D4" s="82" t="s">
        <v>15</v>
      </c>
      <c r="E4" s="82" t="s">
        <v>1</v>
      </c>
      <c r="F4" s="82" t="s">
        <v>36</v>
      </c>
      <c r="G4" s="83" t="s">
        <v>2</v>
      </c>
      <c r="H4" s="104" t="s">
        <v>3</v>
      </c>
    </row>
    <row r="5" spans="1:10" x14ac:dyDescent="0.3">
      <c r="A5" s="84"/>
      <c r="B5" s="84"/>
      <c r="C5" s="85"/>
      <c r="D5" s="86" t="s">
        <v>0</v>
      </c>
      <c r="E5" s="86"/>
      <c r="F5" s="86" t="s">
        <v>34</v>
      </c>
      <c r="G5" s="87"/>
      <c r="H5" s="107" t="s">
        <v>17</v>
      </c>
    </row>
    <row r="6" spans="1:10" x14ac:dyDescent="0.3">
      <c r="A6" s="89" t="s">
        <v>2716</v>
      </c>
      <c r="B6" s="97"/>
      <c r="C6" s="74" t="s">
        <v>2803</v>
      </c>
      <c r="D6" s="148">
        <v>536904.51</v>
      </c>
      <c r="E6" s="93"/>
      <c r="F6" s="93"/>
      <c r="G6" s="92">
        <f>D6</f>
        <v>536904.51</v>
      </c>
      <c r="H6" s="94"/>
    </row>
    <row r="7" spans="1:10" x14ac:dyDescent="0.3">
      <c r="A7" s="133" t="s">
        <v>2799</v>
      </c>
      <c r="B7" s="97" t="s">
        <v>2801</v>
      </c>
      <c r="C7" s="49" t="s">
        <v>2817</v>
      </c>
      <c r="D7" s="136"/>
      <c r="E7" s="93">
        <v>239907.87</v>
      </c>
      <c r="F7" s="93"/>
      <c r="G7" s="92">
        <f>G6-E7</f>
        <v>296996.64</v>
      </c>
      <c r="H7" s="94"/>
    </row>
    <row r="8" spans="1:10" x14ac:dyDescent="0.3">
      <c r="A8" s="89" t="s">
        <v>2818</v>
      </c>
      <c r="B8" s="97" t="s">
        <v>2819</v>
      </c>
      <c r="C8" s="259" t="s">
        <v>2805</v>
      </c>
      <c r="D8" s="136"/>
      <c r="E8" s="93">
        <v>258820.08</v>
      </c>
      <c r="F8" s="93"/>
      <c r="G8" s="92">
        <f>G7-E8</f>
        <v>38176.560000000027</v>
      </c>
      <c r="H8" s="94" t="s">
        <v>2877</v>
      </c>
    </row>
    <row r="9" spans="1:10" x14ac:dyDescent="0.3">
      <c r="A9" s="89"/>
      <c r="B9" s="97"/>
      <c r="C9" s="259"/>
      <c r="D9" s="136"/>
      <c r="E9" s="93"/>
      <c r="F9" s="93"/>
      <c r="G9" s="92"/>
      <c r="H9" s="94"/>
    </row>
    <row r="10" spans="1:10" x14ac:dyDescent="0.3">
      <c r="A10" s="89"/>
      <c r="B10" s="97"/>
      <c r="C10" s="259"/>
      <c r="D10" s="136"/>
      <c r="E10" s="93"/>
      <c r="F10" s="93"/>
      <c r="G10" s="92"/>
      <c r="H10" s="94"/>
    </row>
    <row r="11" spans="1:10" x14ac:dyDescent="0.3">
      <c r="A11" s="89"/>
      <c r="B11" s="90"/>
      <c r="C11" s="74"/>
      <c r="D11" s="136"/>
      <c r="E11" s="93"/>
      <c r="F11" s="93"/>
      <c r="G11" s="92">
        <f>D11</f>
        <v>0</v>
      </c>
      <c r="H11" s="94"/>
    </row>
    <row r="12" spans="1:10" x14ac:dyDescent="0.3">
      <c r="A12" s="89"/>
      <c r="B12" s="90"/>
      <c r="C12" s="49"/>
      <c r="D12" s="91"/>
      <c r="E12" s="93"/>
      <c r="F12" s="91"/>
      <c r="G12" s="92">
        <f>G11+D12</f>
        <v>0</v>
      </c>
      <c r="H12" s="94"/>
      <c r="I12" s="138"/>
      <c r="J12" s="138"/>
    </row>
    <row r="13" spans="1:10" x14ac:dyDescent="0.3">
      <c r="A13" s="89"/>
      <c r="B13" s="97"/>
      <c r="C13" s="49"/>
      <c r="D13" s="91"/>
      <c r="E13" s="91"/>
      <c r="F13" s="91"/>
      <c r="G13" s="92">
        <f>G12-E13</f>
        <v>0</v>
      </c>
      <c r="H13" s="94"/>
      <c r="I13" s="138"/>
      <c r="J13" s="138"/>
    </row>
    <row r="14" spans="1:10" x14ac:dyDescent="0.3">
      <c r="A14" s="89"/>
      <c r="B14" s="97"/>
      <c r="C14" s="74"/>
      <c r="D14" s="91"/>
      <c r="E14" s="91"/>
      <c r="F14" s="91"/>
      <c r="G14" s="92">
        <f>G13+D14</f>
        <v>0</v>
      </c>
      <c r="H14" s="94"/>
      <c r="I14" s="138"/>
      <c r="J14" s="138"/>
    </row>
    <row r="15" spans="1:10" x14ac:dyDescent="0.3">
      <c r="A15" s="89" t="s">
        <v>2716</v>
      </c>
      <c r="B15" s="90"/>
      <c r="C15" s="74" t="s">
        <v>2804</v>
      </c>
      <c r="D15" s="148">
        <v>366579.55</v>
      </c>
      <c r="E15" s="93"/>
      <c r="F15" s="91"/>
      <c r="G15" s="92">
        <f>D15</f>
        <v>366579.55</v>
      </c>
      <c r="H15" s="94" t="s">
        <v>174</v>
      </c>
      <c r="I15" s="138"/>
      <c r="J15" s="138"/>
    </row>
    <row r="16" spans="1:10" x14ac:dyDescent="0.3">
      <c r="A16" s="133" t="s">
        <v>2878</v>
      </c>
      <c r="B16" s="97" t="s">
        <v>2879</v>
      </c>
      <c r="C16" s="49" t="s">
        <v>2880</v>
      </c>
      <c r="D16" s="136"/>
      <c r="E16" s="93">
        <v>114860.11</v>
      </c>
      <c r="F16" s="91"/>
      <c r="G16" s="92">
        <f>G15-E16</f>
        <v>251719.44</v>
      </c>
      <c r="H16" s="94"/>
      <c r="I16" s="138"/>
      <c r="J16" s="138"/>
    </row>
    <row r="17" spans="1:10" x14ac:dyDescent="0.3">
      <c r="A17" s="133"/>
      <c r="B17" s="97" t="s">
        <v>2890</v>
      </c>
      <c r="C17" s="49" t="s">
        <v>2889</v>
      </c>
      <c r="D17" s="136"/>
      <c r="E17" s="93">
        <v>14702.27</v>
      </c>
      <c r="F17" s="91"/>
      <c r="G17" s="92">
        <f>G16-E17</f>
        <v>237017.17</v>
      </c>
      <c r="H17" s="94">
        <v>9450</v>
      </c>
      <c r="I17" s="138"/>
      <c r="J17" s="138"/>
    </row>
    <row r="18" spans="1:10" x14ac:dyDescent="0.3">
      <c r="A18" s="133"/>
      <c r="B18" s="97"/>
      <c r="C18" s="74"/>
      <c r="D18" s="136"/>
      <c r="E18" s="93"/>
      <c r="F18" s="91"/>
      <c r="G18" s="92"/>
      <c r="H18" s="94"/>
      <c r="I18" s="138"/>
      <c r="J18" s="138"/>
    </row>
    <row r="19" spans="1:10" x14ac:dyDescent="0.3">
      <c r="A19" s="133"/>
      <c r="B19" s="97"/>
      <c r="C19" s="76"/>
      <c r="D19" s="136"/>
      <c r="E19" s="93"/>
      <c r="F19" s="91"/>
      <c r="G19" s="92"/>
      <c r="H19" s="94"/>
      <c r="I19" s="138"/>
      <c r="J19" s="138"/>
    </row>
    <row r="20" spans="1:10" x14ac:dyDescent="0.3">
      <c r="A20" s="133"/>
      <c r="B20" s="97"/>
      <c r="C20" s="49"/>
      <c r="D20" s="136"/>
      <c r="E20" s="93"/>
      <c r="F20" s="91"/>
      <c r="G20" s="92"/>
      <c r="H20" s="94"/>
      <c r="I20" s="138"/>
      <c r="J20" s="138"/>
    </row>
    <row r="21" spans="1:10" x14ac:dyDescent="0.3">
      <c r="A21" s="133"/>
      <c r="B21" s="90"/>
      <c r="C21" s="74"/>
      <c r="D21" s="134"/>
      <c r="E21" s="91"/>
      <c r="F21" s="91"/>
      <c r="G21" s="92"/>
      <c r="H21" s="94"/>
      <c r="I21" s="138"/>
      <c r="J21" s="138"/>
    </row>
    <row r="22" spans="1:10" ht="18" thickBot="1" x14ac:dyDescent="0.35">
      <c r="A22" s="89"/>
      <c r="B22" s="143"/>
      <c r="C22" s="131" t="s">
        <v>6</v>
      </c>
      <c r="D22" s="144">
        <f>SUM(D6:D21)</f>
        <v>903484.06</v>
      </c>
      <c r="E22" s="144">
        <f>SUM(E6:E21)</f>
        <v>628290.32999999996</v>
      </c>
      <c r="F22" s="170">
        <f>SUM(F6:F21)</f>
        <v>0</v>
      </c>
      <c r="G22" s="144">
        <f>D22-E22-F22</f>
        <v>275193.7300000001</v>
      </c>
      <c r="H22" s="94"/>
      <c r="I22" s="138"/>
      <c r="J22" s="138"/>
    </row>
    <row r="23" spans="1:10" ht="18" thickTop="1" x14ac:dyDescent="0.3">
      <c r="B23" s="145"/>
      <c r="I23" s="138"/>
      <c r="J23" s="138"/>
    </row>
    <row r="24" spans="1:10" x14ac:dyDescent="0.3">
      <c r="I24" s="138"/>
      <c r="J24" s="138"/>
    </row>
    <row r="25" spans="1:10" x14ac:dyDescent="0.3">
      <c r="I25" s="138"/>
      <c r="J25" s="138"/>
    </row>
    <row r="26" spans="1:10" x14ac:dyDescent="0.3">
      <c r="D26" s="132"/>
    </row>
    <row r="27" spans="1:10" x14ac:dyDescent="0.3">
      <c r="D27" s="132"/>
    </row>
    <row r="28" spans="1:10" x14ac:dyDescent="0.3">
      <c r="D28" s="132"/>
    </row>
    <row r="29" spans="1:10" x14ac:dyDescent="0.3">
      <c r="D29" s="139"/>
    </row>
    <row r="30" spans="1:10" x14ac:dyDescent="0.3">
      <c r="D30" s="139"/>
    </row>
    <row r="32" spans="1:10" x14ac:dyDescent="0.3">
      <c r="D32" s="147"/>
    </row>
  </sheetData>
  <mergeCells count="2">
    <mergeCell ref="A1:G1"/>
    <mergeCell ref="A2:H2"/>
  </mergeCells>
  <pageMargins left="0.41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L22" sqref="L22"/>
    </sheetView>
  </sheetViews>
  <sheetFormatPr defaultRowHeight="17.25" x14ac:dyDescent="0.3"/>
  <cols>
    <col min="1" max="1" width="8.7109375" style="78" customWidth="1"/>
    <col min="2" max="2" width="7.42578125" style="78" customWidth="1"/>
    <col min="3" max="3" width="29" style="78" customWidth="1"/>
    <col min="4" max="4" width="11.7109375" style="78" customWidth="1"/>
    <col min="5" max="5" width="12.28515625" style="78" customWidth="1"/>
    <col min="6" max="6" width="9.140625" style="78" customWidth="1"/>
    <col min="7" max="7" width="11.85546875" style="78" customWidth="1"/>
    <col min="8" max="8" width="9.28515625" style="78" customWidth="1"/>
    <col min="9" max="16384" width="9.140625" style="78"/>
  </cols>
  <sheetData>
    <row r="1" spans="1:9" x14ac:dyDescent="0.3">
      <c r="A1" s="453" t="s">
        <v>186</v>
      </c>
      <c r="B1" s="453"/>
      <c r="C1" s="453"/>
      <c r="D1" s="453"/>
      <c r="E1" s="453"/>
      <c r="F1" s="453"/>
      <c r="G1" s="453"/>
      <c r="H1" s="77" t="s">
        <v>2898</v>
      </c>
    </row>
    <row r="2" spans="1:9" x14ac:dyDescent="0.3">
      <c r="A2" s="453" t="s">
        <v>2665</v>
      </c>
      <c r="B2" s="453"/>
      <c r="C2" s="453"/>
      <c r="D2" s="453"/>
      <c r="E2" s="453"/>
      <c r="F2" s="453"/>
      <c r="G2" s="453"/>
      <c r="H2" s="453"/>
    </row>
    <row r="3" spans="1:9" x14ac:dyDescent="0.3">
      <c r="A3" s="77" t="s">
        <v>14</v>
      </c>
      <c r="B3" s="77"/>
      <c r="C3" s="77"/>
      <c r="D3" s="77"/>
      <c r="E3" s="77"/>
      <c r="F3" s="77"/>
      <c r="G3" s="77" t="s">
        <v>5</v>
      </c>
      <c r="H3" s="77" t="s">
        <v>142</v>
      </c>
    </row>
    <row r="4" spans="1:9" x14ac:dyDescent="0.3">
      <c r="A4" s="80" t="s">
        <v>16</v>
      </c>
      <c r="B4" s="80" t="s">
        <v>12</v>
      </c>
      <c r="C4" s="81" t="s">
        <v>4</v>
      </c>
      <c r="D4" s="82" t="s">
        <v>15</v>
      </c>
      <c r="E4" s="82" t="s">
        <v>1</v>
      </c>
      <c r="F4" s="82" t="s">
        <v>36</v>
      </c>
      <c r="G4" s="83" t="s">
        <v>2</v>
      </c>
      <c r="H4" s="104" t="s">
        <v>3</v>
      </c>
    </row>
    <row r="5" spans="1:9" x14ac:dyDescent="0.3">
      <c r="A5" s="84"/>
      <c r="B5" s="84"/>
      <c r="C5" s="85"/>
      <c r="D5" s="86" t="s">
        <v>0</v>
      </c>
      <c r="E5" s="86"/>
      <c r="F5" s="86" t="s">
        <v>34</v>
      </c>
      <c r="G5" s="87"/>
      <c r="H5" s="107" t="s">
        <v>17</v>
      </c>
    </row>
    <row r="6" spans="1:9" x14ac:dyDescent="0.3">
      <c r="A6" s="133" t="s">
        <v>2807</v>
      </c>
      <c r="B6" s="97" t="s">
        <v>2904</v>
      </c>
      <c r="C6" s="74" t="s">
        <v>2895</v>
      </c>
      <c r="D6" s="148">
        <v>54000</v>
      </c>
      <c r="E6" s="93"/>
      <c r="F6" s="93"/>
      <c r="G6" s="92">
        <f>D6</f>
        <v>54000</v>
      </c>
      <c r="H6" s="94"/>
    </row>
    <row r="7" spans="1:9" x14ac:dyDescent="0.3">
      <c r="A7" s="133" t="s">
        <v>2867</v>
      </c>
      <c r="B7" s="97" t="s">
        <v>2896</v>
      </c>
      <c r="C7" s="49" t="s">
        <v>2897</v>
      </c>
      <c r="D7" s="136"/>
      <c r="E7" s="93">
        <v>35100</v>
      </c>
      <c r="F7" s="93"/>
      <c r="G7" s="92">
        <f>G6-E7</f>
        <v>18900</v>
      </c>
      <c r="H7" s="94"/>
    </row>
    <row r="8" spans="1:9" x14ac:dyDescent="0.3">
      <c r="A8" s="89"/>
      <c r="B8" s="97"/>
      <c r="C8" s="259"/>
      <c r="D8" s="136"/>
      <c r="E8" s="93"/>
      <c r="F8" s="93"/>
      <c r="G8" s="92"/>
      <c r="H8" s="94"/>
    </row>
    <row r="9" spans="1:9" x14ac:dyDescent="0.3">
      <c r="A9" s="89"/>
      <c r="B9" s="97"/>
      <c r="C9" s="259"/>
      <c r="D9" s="136"/>
      <c r="E9" s="93"/>
      <c r="F9" s="93"/>
      <c r="G9" s="92"/>
      <c r="H9" s="94"/>
    </row>
    <row r="10" spans="1:9" x14ac:dyDescent="0.3">
      <c r="A10" s="89"/>
      <c r="B10" s="97"/>
      <c r="C10" s="259"/>
      <c r="D10" s="136"/>
      <c r="E10" s="93"/>
      <c r="F10" s="93"/>
      <c r="G10" s="92"/>
      <c r="H10" s="94"/>
    </row>
    <row r="11" spans="1:9" x14ac:dyDescent="0.3">
      <c r="A11" s="89"/>
      <c r="B11" s="90"/>
      <c r="C11" s="74"/>
      <c r="D11" s="136"/>
      <c r="E11" s="93"/>
      <c r="F11" s="93"/>
      <c r="G11" s="92">
        <f>D11</f>
        <v>0</v>
      </c>
      <c r="H11" s="94"/>
    </row>
    <row r="12" spans="1:9" x14ac:dyDescent="0.3">
      <c r="A12" s="89"/>
      <c r="B12" s="90"/>
      <c r="C12" s="49"/>
      <c r="D12" s="91"/>
      <c r="E12" s="93"/>
      <c r="F12" s="91"/>
      <c r="G12" s="92">
        <f>G11+D12</f>
        <v>0</v>
      </c>
      <c r="H12" s="94"/>
      <c r="I12" s="138"/>
    </row>
    <row r="13" spans="1:9" x14ac:dyDescent="0.3">
      <c r="A13" s="89"/>
      <c r="B13" s="97"/>
      <c r="C13" s="49"/>
      <c r="D13" s="91"/>
      <c r="E13" s="91"/>
      <c r="F13" s="91"/>
      <c r="G13" s="92">
        <f>G12-E13</f>
        <v>0</v>
      </c>
      <c r="H13" s="94"/>
      <c r="I13" s="138"/>
    </row>
    <row r="14" spans="1:9" x14ac:dyDescent="0.3">
      <c r="A14" s="133"/>
      <c r="B14" s="97"/>
      <c r="C14" s="49"/>
      <c r="D14" s="136"/>
      <c r="E14" s="93"/>
      <c r="F14" s="91"/>
      <c r="G14" s="92"/>
      <c r="H14" s="94"/>
      <c r="I14" s="138"/>
    </row>
    <row r="15" spans="1:9" x14ac:dyDescent="0.3">
      <c r="A15" s="133"/>
      <c r="B15" s="90"/>
      <c r="C15" s="74"/>
      <c r="D15" s="134"/>
      <c r="E15" s="91"/>
      <c r="F15" s="91"/>
      <c r="G15" s="92"/>
      <c r="H15" s="94"/>
      <c r="I15" s="138"/>
    </row>
    <row r="16" spans="1:9" ht="18" thickBot="1" x14ac:dyDescent="0.35">
      <c r="A16" s="89"/>
      <c r="B16" s="143"/>
      <c r="C16" s="131" t="s">
        <v>6</v>
      </c>
      <c r="D16" s="144">
        <f>SUM(D6:D15)</f>
        <v>54000</v>
      </c>
      <c r="E16" s="144">
        <f>SUM(E6:E15)</f>
        <v>35100</v>
      </c>
      <c r="F16" s="170">
        <f>SUM(F6:F15)</f>
        <v>0</v>
      </c>
      <c r="G16" s="144">
        <f>D16-E16-F16</f>
        <v>18900</v>
      </c>
      <c r="H16" s="94"/>
      <c r="I16" s="138"/>
    </row>
    <row r="17" spans="2:9" ht="18" thickTop="1" x14ac:dyDescent="0.3">
      <c r="B17" s="145"/>
      <c r="I17" s="138"/>
    </row>
    <row r="18" spans="2:9" x14ac:dyDescent="0.3">
      <c r="I18" s="138"/>
    </row>
    <row r="19" spans="2:9" x14ac:dyDescent="0.3">
      <c r="I19" s="138"/>
    </row>
    <row r="20" spans="2:9" x14ac:dyDescent="0.3">
      <c r="D20" s="132"/>
    </row>
    <row r="21" spans="2:9" x14ac:dyDescent="0.3">
      <c r="D21" s="132"/>
    </row>
    <row r="22" spans="2:9" x14ac:dyDescent="0.3">
      <c r="D22" s="132"/>
    </row>
    <row r="23" spans="2:9" x14ac:dyDescent="0.3">
      <c r="D23" s="139"/>
    </row>
    <row r="24" spans="2:9" x14ac:dyDescent="0.3">
      <c r="D24" s="139"/>
    </row>
    <row r="26" spans="2:9" x14ac:dyDescent="0.3">
      <c r="D26" s="147"/>
    </row>
  </sheetData>
  <mergeCells count="2">
    <mergeCell ref="A1:G1"/>
    <mergeCell ref="A2:H2"/>
  </mergeCells>
  <pageMargins left="0.41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2"/>
  <sheetViews>
    <sheetView workbookViewId="0">
      <selection activeCell="N11" sqref="N11"/>
    </sheetView>
  </sheetViews>
  <sheetFormatPr defaultRowHeight="12.75" x14ac:dyDescent="0.2"/>
  <cols>
    <col min="1" max="1" width="4" customWidth="1"/>
    <col min="2" max="2" width="22.5703125" customWidth="1"/>
    <col min="3" max="3" width="12.85546875" customWidth="1"/>
    <col min="4" max="4" width="13.85546875" customWidth="1"/>
    <col min="5" max="5" width="12.140625" customWidth="1"/>
    <col min="6" max="6" width="13.140625" customWidth="1"/>
    <col min="7" max="7" width="8.5703125" customWidth="1"/>
    <col min="8" max="8" width="10.7109375" customWidth="1"/>
    <col min="9" max="9" width="10.85546875" customWidth="1"/>
    <col min="10" max="10" width="10.28515625" bestFit="1" customWidth="1"/>
  </cols>
  <sheetData>
    <row r="3" spans="1:8" ht="21" x14ac:dyDescent="0.35">
      <c r="A3" s="450" t="s">
        <v>958</v>
      </c>
      <c r="B3" s="450"/>
      <c r="C3" s="450"/>
      <c r="D3" s="450"/>
      <c r="E3" s="450"/>
      <c r="F3" s="450"/>
      <c r="G3" s="450"/>
    </row>
    <row r="4" spans="1:8" ht="21" x14ac:dyDescent="0.35">
      <c r="A4" s="450" t="s">
        <v>13</v>
      </c>
      <c r="B4" s="450"/>
      <c r="C4" s="450"/>
      <c r="D4" s="450"/>
      <c r="E4" s="450"/>
      <c r="F4" s="450"/>
      <c r="G4" s="450"/>
    </row>
    <row r="5" spans="1:8" ht="21" x14ac:dyDescent="0.35">
      <c r="A5" s="450" t="s">
        <v>2921</v>
      </c>
      <c r="B5" s="450"/>
      <c r="C5" s="450"/>
      <c r="D5" s="450"/>
      <c r="E5" s="450"/>
      <c r="F5" s="450"/>
      <c r="G5" s="450"/>
    </row>
    <row r="6" spans="1:8" ht="21" x14ac:dyDescent="0.35">
      <c r="A6" s="13" t="s">
        <v>7</v>
      </c>
      <c r="B6" s="13"/>
      <c r="C6" s="13"/>
      <c r="D6" s="13"/>
      <c r="E6" s="13"/>
      <c r="F6" s="13"/>
      <c r="G6" s="13"/>
    </row>
    <row r="7" spans="1:8" ht="21" x14ac:dyDescent="0.35">
      <c r="A7" s="14" t="s">
        <v>8</v>
      </c>
      <c r="B7" s="15" t="s">
        <v>4</v>
      </c>
      <c r="C7" s="14" t="s">
        <v>9</v>
      </c>
      <c r="D7" s="15" t="s">
        <v>41</v>
      </c>
      <c r="E7" s="14" t="s">
        <v>26</v>
      </c>
      <c r="F7" s="14" t="s">
        <v>2</v>
      </c>
      <c r="G7" s="205" t="s">
        <v>10</v>
      </c>
      <c r="H7" s="204" t="s">
        <v>3</v>
      </c>
    </row>
    <row r="8" spans="1:8" ht="21" x14ac:dyDescent="0.35">
      <c r="A8" s="16"/>
      <c r="B8" s="17"/>
      <c r="C8" s="16"/>
      <c r="D8" s="17"/>
      <c r="E8" s="201" t="s">
        <v>156</v>
      </c>
      <c r="F8" s="16"/>
      <c r="G8" s="201" t="s">
        <v>11</v>
      </c>
      <c r="H8" s="16"/>
    </row>
    <row r="9" spans="1:8" ht="18.75" x14ac:dyDescent="0.3">
      <c r="A9" s="5"/>
      <c r="B9" s="6"/>
      <c r="C9" s="62"/>
      <c r="D9" s="36"/>
      <c r="E9" s="35"/>
      <c r="F9" s="32"/>
      <c r="G9" s="26"/>
      <c r="H9" s="202"/>
    </row>
    <row r="10" spans="1:8" ht="18.75" x14ac:dyDescent="0.3">
      <c r="A10" s="27">
        <v>1</v>
      </c>
      <c r="B10" s="6" t="s">
        <v>5</v>
      </c>
      <c r="C10" s="42">
        <v>78124071</v>
      </c>
      <c r="D10" s="8">
        <v>73346255.790000007</v>
      </c>
      <c r="E10" s="38">
        <v>1219396.8799999999</v>
      </c>
      <c r="F10" s="25">
        <f>C10-D10-E10</f>
        <v>3558418.3299999936</v>
      </c>
      <c r="G10" s="26">
        <f>D10*100/C10</f>
        <v>93.884323808471279</v>
      </c>
      <c r="H10" s="203"/>
    </row>
    <row r="11" spans="1:8" ht="18.75" x14ac:dyDescent="0.3">
      <c r="A11" s="5">
        <v>2</v>
      </c>
      <c r="B11" s="51" t="s">
        <v>968</v>
      </c>
      <c r="C11" s="42">
        <v>56091020</v>
      </c>
      <c r="D11" s="58">
        <v>26300206.620000001</v>
      </c>
      <c r="E11" s="149">
        <v>29520457.199999999</v>
      </c>
      <c r="F11" s="25">
        <f>C11-D11-E11</f>
        <v>270356.1799999997</v>
      </c>
      <c r="G11" s="26">
        <f>D11*100/C11</f>
        <v>46.888444210855859</v>
      </c>
      <c r="H11" s="7"/>
    </row>
    <row r="12" spans="1:8" ht="18.75" x14ac:dyDescent="0.3">
      <c r="A12" s="27"/>
      <c r="B12" s="51"/>
      <c r="C12" s="38"/>
      <c r="D12" s="7"/>
      <c r="E12" s="54"/>
      <c r="F12" s="25"/>
      <c r="G12" s="26"/>
      <c r="H12" s="7"/>
    </row>
    <row r="13" spans="1:8" ht="18.75" x14ac:dyDescent="0.3">
      <c r="A13" s="27"/>
      <c r="B13" s="51"/>
      <c r="C13" s="7"/>
      <c r="D13" s="53"/>
      <c r="E13" s="54"/>
      <c r="F13" s="25"/>
      <c r="G13" s="26"/>
      <c r="H13" s="7"/>
    </row>
    <row r="14" spans="1:8" ht="18.75" x14ac:dyDescent="0.3">
      <c r="A14" s="5"/>
      <c r="B14" s="6"/>
      <c r="C14" s="7"/>
      <c r="D14" s="53"/>
      <c r="E14" s="42"/>
      <c r="F14" s="25"/>
      <c r="G14" s="26"/>
      <c r="H14" s="7"/>
    </row>
    <row r="15" spans="1:8" ht="18.75" x14ac:dyDescent="0.3">
      <c r="A15" s="5"/>
      <c r="B15" s="6"/>
      <c r="C15" s="7"/>
      <c r="D15" s="53"/>
      <c r="E15" s="7"/>
      <c r="F15" s="55"/>
      <c r="G15" s="26"/>
      <c r="H15" s="26"/>
    </row>
    <row r="16" spans="1:8" ht="18.75" x14ac:dyDescent="0.3">
      <c r="A16" s="27"/>
      <c r="B16" s="6"/>
      <c r="C16" s="7"/>
      <c r="D16" s="9"/>
      <c r="E16" s="7"/>
      <c r="F16" s="25"/>
      <c r="G16" s="26"/>
      <c r="H16" s="26"/>
    </row>
    <row r="17" spans="1:10" ht="18.75" x14ac:dyDescent="0.3">
      <c r="A17" s="5"/>
      <c r="B17" s="6"/>
      <c r="C17" s="28"/>
      <c r="D17" s="29"/>
      <c r="E17" s="28"/>
      <c r="F17" s="25"/>
      <c r="G17" s="26"/>
      <c r="H17" s="26"/>
      <c r="I17" s="37"/>
      <c r="J17" s="37"/>
    </row>
    <row r="18" spans="1:10" ht="18.75" x14ac:dyDescent="0.3">
      <c r="A18" s="30"/>
      <c r="B18" s="31"/>
      <c r="C18" s="28"/>
      <c r="D18" s="29"/>
      <c r="E18" s="28"/>
      <c r="F18" s="25"/>
      <c r="G18" s="26"/>
      <c r="H18" s="26"/>
    </row>
    <row r="19" spans="1:10" ht="21" x14ac:dyDescent="0.45">
      <c r="A19" s="30"/>
      <c r="B19" s="31"/>
      <c r="C19" s="28"/>
      <c r="D19" s="29"/>
      <c r="E19" s="28"/>
      <c r="F19" s="32"/>
      <c r="G19" s="26"/>
      <c r="H19" s="26"/>
      <c r="I19" s="39"/>
      <c r="J19" s="39"/>
    </row>
    <row r="20" spans="1:10" ht="18.75" x14ac:dyDescent="0.3">
      <c r="A20" s="5"/>
      <c r="B20" s="6"/>
      <c r="C20" s="7"/>
      <c r="D20" s="9"/>
      <c r="E20" s="7"/>
      <c r="F20" s="25"/>
      <c r="G20" s="26"/>
      <c r="H20" s="26"/>
    </row>
    <row r="21" spans="1:10" ht="18.75" x14ac:dyDescent="0.3">
      <c r="A21" s="5"/>
      <c r="B21" s="6"/>
      <c r="C21" s="7"/>
      <c r="D21" s="9"/>
      <c r="E21" s="7"/>
      <c r="F21" s="25"/>
      <c r="G21" s="26"/>
      <c r="H21" s="26"/>
    </row>
    <row r="22" spans="1:10" ht="18.75" x14ac:dyDescent="0.3">
      <c r="A22" s="30"/>
      <c r="B22" s="31"/>
      <c r="C22" s="28"/>
      <c r="D22" s="29"/>
      <c r="E22" s="28"/>
      <c r="F22" s="28"/>
      <c r="G22" s="28"/>
      <c r="H22" s="28"/>
    </row>
    <row r="23" spans="1:10" ht="18.75" x14ac:dyDescent="0.3">
      <c r="A23" s="2"/>
      <c r="B23" s="24" t="s">
        <v>6</v>
      </c>
      <c r="C23" s="206">
        <f>SUM(C9:C22)</f>
        <v>134215091</v>
      </c>
      <c r="D23" s="194">
        <f>SUM(D9:D22)</f>
        <v>99646462.410000011</v>
      </c>
      <c r="E23" s="186">
        <f>SUM(E9:E22)</f>
        <v>30739854.079999998</v>
      </c>
      <c r="F23" s="33">
        <f>SUM(F9:F22)</f>
        <v>3828774.5099999933</v>
      </c>
      <c r="G23" s="34">
        <f>D23*100/C23</f>
        <v>74.243858620935569</v>
      </c>
      <c r="H23" s="34"/>
    </row>
    <row r="24" spans="1:10" ht="18.75" x14ac:dyDescent="0.3">
      <c r="A24" s="4"/>
      <c r="B24" s="52"/>
      <c r="C24" s="59"/>
      <c r="D24" s="59"/>
      <c r="E24" s="60"/>
      <c r="F24" s="59"/>
      <c r="G24" s="61"/>
      <c r="H24" s="61"/>
    </row>
    <row r="25" spans="1:10" ht="21" x14ac:dyDescent="0.35">
      <c r="A25" s="4"/>
      <c r="B25" s="19" t="s">
        <v>21</v>
      </c>
      <c r="C25" s="59"/>
      <c r="D25" s="59"/>
      <c r="E25" s="60"/>
      <c r="F25" s="59"/>
      <c r="G25" s="61"/>
      <c r="H25" s="61"/>
    </row>
    <row r="26" spans="1:10" ht="23.25" x14ac:dyDescent="0.5">
      <c r="A26" s="18"/>
      <c r="B26" s="20" t="s">
        <v>728</v>
      </c>
      <c r="C26" s="20"/>
      <c r="D26" s="20" t="s">
        <v>716</v>
      </c>
      <c r="E26" s="19"/>
      <c r="F26" s="20" t="s">
        <v>22</v>
      </c>
      <c r="G26" s="19"/>
      <c r="H26" s="12"/>
    </row>
    <row r="27" spans="1:10" ht="23.25" x14ac:dyDescent="0.5">
      <c r="A27" s="18"/>
      <c r="B27" s="19" t="s">
        <v>724</v>
      </c>
      <c r="C27" s="19"/>
      <c r="D27" s="19" t="s">
        <v>717</v>
      </c>
      <c r="E27" s="19"/>
      <c r="F27" s="19" t="s">
        <v>721</v>
      </c>
      <c r="G27" s="19"/>
      <c r="H27" s="11"/>
    </row>
    <row r="28" spans="1:10" ht="23.25" x14ac:dyDescent="0.5">
      <c r="A28" s="18"/>
      <c r="B28" s="19" t="s">
        <v>725</v>
      </c>
      <c r="C28" s="19"/>
      <c r="D28" s="19" t="s">
        <v>718</v>
      </c>
      <c r="E28" s="19"/>
      <c r="F28" s="19" t="s">
        <v>722</v>
      </c>
      <c r="G28" s="19"/>
      <c r="H28" s="11"/>
    </row>
    <row r="29" spans="1:10" ht="23.25" x14ac:dyDescent="0.5">
      <c r="A29" s="18"/>
      <c r="B29" s="19" t="s">
        <v>726</v>
      </c>
      <c r="C29" s="19"/>
      <c r="D29" s="19" t="s">
        <v>719</v>
      </c>
      <c r="E29" s="19"/>
      <c r="F29" s="19" t="s">
        <v>723</v>
      </c>
      <c r="G29" s="19"/>
      <c r="H29" s="11"/>
    </row>
    <row r="30" spans="1:10" ht="23.25" x14ac:dyDescent="0.5">
      <c r="A30" s="18"/>
      <c r="B30" s="19" t="s">
        <v>727</v>
      </c>
      <c r="C30" s="19"/>
      <c r="D30" s="19" t="s">
        <v>720</v>
      </c>
      <c r="E30" s="19"/>
      <c r="F30" s="19" t="s">
        <v>720</v>
      </c>
      <c r="G30" s="19"/>
      <c r="H30" s="11"/>
    </row>
    <row r="31" spans="1:10" ht="23.25" x14ac:dyDescent="0.5">
      <c r="B31" s="11"/>
      <c r="C31" s="11"/>
      <c r="D31" s="11"/>
      <c r="E31" s="11"/>
      <c r="F31" s="11"/>
      <c r="G31" s="11"/>
      <c r="H31" s="182"/>
    </row>
    <row r="32" spans="1:10" x14ac:dyDescent="0.2">
      <c r="B32" s="22"/>
      <c r="E32" s="45"/>
      <c r="F32" s="45"/>
    </row>
    <row r="33" spans="2:6" x14ac:dyDescent="0.2">
      <c r="B33" s="22"/>
      <c r="E33" s="37"/>
      <c r="F33" s="37"/>
    </row>
    <row r="34" spans="2:6" x14ac:dyDescent="0.2">
      <c r="B34" s="208"/>
      <c r="E34" s="37"/>
      <c r="F34" s="37"/>
    </row>
    <row r="35" spans="2:6" ht="23.25" x14ac:dyDescent="0.5">
      <c r="B35" s="10"/>
      <c r="C35" s="21"/>
      <c r="D35" s="10"/>
      <c r="E35" s="10"/>
    </row>
    <row r="36" spans="2:6" ht="23.25" x14ac:dyDescent="0.5">
      <c r="B36" s="10"/>
      <c r="C36" s="10"/>
      <c r="D36" s="10"/>
      <c r="E36" s="10"/>
    </row>
    <row r="37" spans="2:6" ht="23.25" x14ac:dyDescent="0.5">
      <c r="B37" s="10"/>
      <c r="C37" s="10"/>
      <c r="D37" s="10"/>
      <c r="E37" s="10"/>
    </row>
    <row r="38" spans="2:6" ht="23.25" x14ac:dyDescent="0.5">
      <c r="B38" s="10"/>
      <c r="C38" s="10"/>
      <c r="D38" s="10"/>
      <c r="E38" s="10"/>
    </row>
    <row r="39" spans="2:6" ht="23.25" x14ac:dyDescent="0.5">
      <c r="B39" s="10"/>
      <c r="C39" s="21"/>
      <c r="D39" s="10"/>
      <c r="E39" s="10"/>
    </row>
    <row r="40" spans="2:6" ht="23.25" x14ac:dyDescent="0.5">
      <c r="B40" s="10"/>
      <c r="C40" s="21"/>
      <c r="D40" s="10"/>
      <c r="E40" s="10"/>
    </row>
    <row r="41" spans="2:6" ht="23.25" x14ac:dyDescent="0.5">
      <c r="B41" s="10"/>
      <c r="C41" s="21"/>
      <c r="D41" s="10"/>
      <c r="E41" s="10"/>
    </row>
    <row r="42" spans="2:6" ht="23.25" x14ac:dyDescent="0.5">
      <c r="B42" s="10"/>
      <c r="C42" s="10"/>
      <c r="D42" s="10"/>
      <c r="E42" s="10"/>
    </row>
  </sheetData>
  <mergeCells count="3">
    <mergeCell ref="A3:G3"/>
    <mergeCell ref="A4:G4"/>
    <mergeCell ref="A5:G5"/>
  </mergeCells>
  <pageMargins left="0.53" right="0.15" top="0.44" bottom="1" header="0.27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J1" sqref="J1:O1048576"/>
    </sheetView>
  </sheetViews>
  <sheetFormatPr defaultRowHeight="17.25" x14ac:dyDescent="0.3"/>
  <cols>
    <col min="1" max="1" width="8.7109375" style="78" customWidth="1"/>
    <col min="2" max="2" width="8.42578125" style="78" customWidth="1"/>
    <col min="3" max="3" width="23.28515625" style="78" customWidth="1"/>
    <col min="4" max="4" width="12.85546875" style="78" customWidth="1"/>
    <col min="5" max="5" width="12.28515625" style="78" customWidth="1"/>
    <col min="6" max="6" width="8.28515625" style="78" customWidth="1"/>
    <col min="7" max="7" width="11.85546875" style="78" customWidth="1"/>
    <col min="8" max="8" width="9" style="78" customWidth="1"/>
    <col min="9" max="9" width="9.140625" style="78"/>
    <col min="10" max="10" width="12.28515625" style="78" customWidth="1"/>
    <col min="11" max="11" width="11.140625" style="78" customWidth="1"/>
    <col min="12" max="16384" width="9.140625" style="78"/>
  </cols>
  <sheetData>
    <row r="1" spans="1:12" x14ac:dyDescent="0.3">
      <c r="A1" s="453" t="s">
        <v>209</v>
      </c>
      <c r="B1" s="453"/>
      <c r="C1" s="453"/>
      <c r="D1" s="453"/>
      <c r="E1" s="453"/>
      <c r="F1" s="453"/>
      <c r="G1" s="453"/>
      <c r="H1" s="77" t="s">
        <v>174</v>
      </c>
    </row>
    <row r="2" spans="1:12" x14ac:dyDescent="0.3">
      <c r="A2" s="453" t="s">
        <v>2666</v>
      </c>
      <c r="B2" s="453"/>
      <c r="C2" s="453"/>
      <c r="D2" s="453"/>
      <c r="E2" s="453"/>
      <c r="F2" s="453"/>
      <c r="G2" s="453"/>
      <c r="H2" s="453"/>
    </row>
    <row r="3" spans="1:12" x14ac:dyDescent="0.3">
      <c r="A3" s="77" t="s">
        <v>14</v>
      </c>
      <c r="B3" s="77"/>
      <c r="C3" s="77"/>
      <c r="D3" s="77"/>
      <c r="E3" s="77"/>
      <c r="F3" s="77"/>
      <c r="G3" s="77" t="s">
        <v>5</v>
      </c>
      <c r="H3" s="77" t="s">
        <v>142</v>
      </c>
    </row>
    <row r="4" spans="1:12" x14ac:dyDescent="0.3">
      <c r="A4" s="80" t="s">
        <v>16</v>
      </c>
      <c r="B4" s="80" t="s">
        <v>12</v>
      </c>
      <c r="C4" s="81" t="s">
        <v>4</v>
      </c>
      <c r="D4" s="82" t="s">
        <v>15</v>
      </c>
      <c r="E4" s="82" t="s">
        <v>1</v>
      </c>
      <c r="F4" s="82" t="s">
        <v>36</v>
      </c>
      <c r="G4" s="83" t="s">
        <v>2</v>
      </c>
      <c r="H4" s="104" t="s">
        <v>3</v>
      </c>
    </row>
    <row r="5" spans="1:12" x14ac:dyDescent="0.3">
      <c r="A5" s="84"/>
      <c r="B5" s="84"/>
      <c r="C5" s="85"/>
      <c r="D5" s="86" t="s">
        <v>0</v>
      </c>
      <c r="E5" s="86"/>
      <c r="F5" s="86" t="s">
        <v>34</v>
      </c>
      <c r="G5" s="87"/>
      <c r="H5" s="107" t="s">
        <v>17</v>
      </c>
    </row>
    <row r="6" spans="1:12" x14ac:dyDescent="0.3">
      <c r="A6" s="133" t="s">
        <v>168</v>
      </c>
      <c r="B6" s="90" t="s">
        <v>172</v>
      </c>
      <c r="C6" s="74" t="s">
        <v>173</v>
      </c>
      <c r="D6" s="134">
        <v>1701000</v>
      </c>
      <c r="E6" s="134"/>
      <c r="F6" s="91"/>
      <c r="G6" s="135">
        <f>D6</f>
        <v>1701000</v>
      </c>
      <c r="H6" s="130" t="s">
        <v>171</v>
      </c>
    </row>
    <row r="7" spans="1:12" x14ac:dyDescent="0.3">
      <c r="A7" s="133" t="s">
        <v>221</v>
      </c>
      <c r="B7" s="90" t="s">
        <v>272</v>
      </c>
      <c r="C7" s="49" t="s">
        <v>255</v>
      </c>
      <c r="D7" s="136"/>
      <c r="E7" s="148">
        <v>434700</v>
      </c>
      <c r="F7" s="93"/>
      <c r="G7" s="135">
        <f t="shared" ref="G7:G12" si="0">G6-E7</f>
        <v>1266300</v>
      </c>
      <c r="H7" s="130"/>
    </row>
    <row r="8" spans="1:12" x14ac:dyDescent="0.3">
      <c r="A8" s="89" t="s">
        <v>326</v>
      </c>
      <c r="B8" s="90" t="s">
        <v>327</v>
      </c>
      <c r="C8" s="49" t="s">
        <v>328</v>
      </c>
      <c r="D8" s="136"/>
      <c r="E8" s="148">
        <v>17955</v>
      </c>
      <c r="F8" s="93"/>
      <c r="G8" s="135">
        <f t="shared" si="0"/>
        <v>1248345</v>
      </c>
      <c r="H8" s="130"/>
    </row>
    <row r="9" spans="1:12" x14ac:dyDescent="0.3">
      <c r="A9" s="133" t="s">
        <v>587</v>
      </c>
      <c r="B9" s="90" t="s">
        <v>590</v>
      </c>
      <c r="C9" s="49" t="s">
        <v>387</v>
      </c>
      <c r="D9" s="136"/>
      <c r="E9" s="148">
        <v>287369.40999999997</v>
      </c>
      <c r="F9" s="93"/>
      <c r="G9" s="149">
        <f t="shared" si="0"/>
        <v>960975.59000000008</v>
      </c>
      <c r="H9" s="130"/>
    </row>
    <row r="10" spans="1:12" x14ac:dyDescent="0.3">
      <c r="A10" s="133" t="s">
        <v>658</v>
      </c>
      <c r="B10" s="90" t="s">
        <v>699</v>
      </c>
      <c r="C10" s="49" t="s">
        <v>656</v>
      </c>
      <c r="D10" s="134"/>
      <c r="E10" s="148">
        <v>274050</v>
      </c>
      <c r="F10" s="91"/>
      <c r="G10" s="149">
        <f t="shared" si="0"/>
        <v>686925.59000000008</v>
      </c>
      <c r="H10" s="130"/>
    </row>
    <row r="11" spans="1:12" x14ac:dyDescent="0.3">
      <c r="A11" s="133" t="s">
        <v>901</v>
      </c>
      <c r="B11" s="97" t="s">
        <v>921</v>
      </c>
      <c r="C11" s="49" t="s">
        <v>892</v>
      </c>
      <c r="D11" s="136"/>
      <c r="E11" s="148">
        <v>274050</v>
      </c>
      <c r="F11" s="93"/>
      <c r="G11" s="149">
        <f t="shared" si="0"/>
        <v>412875.59000000008</v>
      </c>
      <c r="H11" s="130"/>
    </row>
    <row r="12" spans="1:12" x14ac:dyDescent="0.3">
      <c r="A12" s="89" t="s">
        <v>1065</v>
      </c>
      <c r="B12" s="90" t="s">
        <v>1086</v>
      </c>
      <c r="C12" s="49" t="s">
        <v>1064</v>
      </c>
      <c r="D12" s="136"/>
      <c r="E12" s="148">
        <v>274050</v>
      </c>
      <c r="F12" s="93"/>
      <c r="G12" s="149">
        <f t="shared" si="0"/>
        <v>138825.59000000008</v>
      </c>
      <c r="H12" s="94"/>
      <c r="J12" s="137"/>
    </row>
    <row r="13" spans="1:12" x14ac:dyDescent="0.3">
      <c r="A13" s="89" t="s">
        <v>1186</v>
      </c>
      <c r="B13" s="90" t="s">
        <v>1194</v>
      </c>
      <c r="C13" s="74" t="s">
        <v>173</v>
      </c>
      <c r="D13" s="134">
        <v>1701000</v>
      </c>
      <c r="E13" s="134"/>
      <c r="F13" s="91"/>
      <c r="G13" s="92">
        <f>G12+D13</f>
        <v>1839825.59</v>
      </c>
      <c r="H13" s="94" t="s">
        <v>1195</v>
      </c>
      <c r="J13" s="140"/>
      <c r="K13" s="138"/>
      <c r="L13" s="138"/>
    </row>
    <row r="14" spans="1:12" x14ac:dyDescent="0.3">
      <c r="A14" s="89" t="s">
        <v>1315</v>
      </c>
      <c r="B14" s="97" t="s">
        <v>1351</v>
      </c>
      <c r="C14" s="76" t="s">
        <v>1352</v>
      </c>
      <c r="D14" s="91"/>
      <c r="E14" s="185">
        <v>245700</v>
      </c>
      <c r="F14" s="91"/>
      <c r="G14" s="92">
        <f>G13-E14</f>
        <v>1594125.59</v>
      </c>
      <c r="H14" s="94"/>
      <c r="J14" s="140"/>
      <c r="K14" s="138"/>
      <c r="L14" s="138"/>
    </row>
    <row r="15" spans="1:12" x14ac:dyDescent="0.3">
      <c r="A15" s="89" t="s">
        <v>1408</v>
      </c>
      <c r="B15" s="97" t="s">
        <v>1424</v>
      </c>
      <c r="C15" s="76" t="s">
        <v>1420</v>
      </c>
      <c r="D15" s="91"/>
      <c r="E15" s="185">
        <v>245700</v>
      </c>
      <c r="F15" s="91"/>
      <c r="G15" s="92">
        <f>G14-E15</f>
        <v>1348425.59</v>
      </c>
      <c r="H15" s="150"/>
      <c r="J15" s="140"/>
      <c r="K15" s="138"/>
      <c r="L15" s="138"/>
    </row>
    <row r="16" spans="1:12" ht="18.75" x14ac:dyDescent="0.3">
      <c r="A16" s="89" t="s">
        <v>1336</v>
      </c>
      <c r="B16" s="97"/>
      <c r="C16" s="76" t="s">
        <v>1446</v>
      </c>
      <c r="D16" s="91"/>
      <c r="E16" s="267">
        <v>-953.96</v>
      </c>
      <c r="F16" s="91"/>
      <c r="G16" s="92">
        <f>G15-E16</f>
        <v>1349379.55</v>
      </c>
      <c r="H16" s="150"/>
      <c r="J16" s="140"/>
      <c r="K16" s="138"/>
      <c r="L16" s="138"/>
    </row>
    <row r="17" spans="1:12" x14ac:dyDescent="0.3">
      <c r="A17" s="133" t="s">
        <v>1606</v>
      </c>
      <c r="B17" s="90" t="s">
        <v>1634</v>
      </c>
      <c r="C17" s="49" t="s">
        <v>1631</v>
      </c>
      <c r="D17" s="91"/>
      <c r="E17" s="185">
        <v>245700</v>
      </c>
      <c r="F17" s="91"/>
      <c r="G17" s="92">
        <f>G16-E17</f>
        <v>1103679.55</v>
      </c>
      <c r="H17" s="150"/>
      <c r="J17" s="140"/>
      <c r="K17" s="138"/>
      <c r="L17" s="138"/>
    </row>
    <row r="18" spans="1:12" x14ac:dyDescent="0.3">
      <c r="A18" s="89" t="s">
        <v>1950</v>
      </c>
      <c r="B18" s="97" t="s">
        <v>1984</v>
      </c>
      <c r="C18" s="76" t="s">
        <v>1983</v>
      </c>
      <c r="D18" s="91"/>
      <c r="E18" s="185">
        <v>245700</v>
      </c>
      <c r="F18" s="134"/>
      <c r="G18" s="92">
        <f>G17-E18</f>
        <v>857979.55</v>
      </c>
      <c r="H18" s="150"/>
      <c r="J18" s="140"/>
      <c r="K18" s="138"/>
      <c r="L18" s="138"/>
    </row>
    <row r="19" spans="1:12" x14ac:dyDescent="0.3">
      <c r="A19" s="89" t="s">
        <v>2221</v>
      </c>
      <c r="B19" s="97" t="s">
        <v>2257</v>
      </c>
      <c r="C19" s="49" t="s">
        <v>2070</v>
      </c>
      <c r="D19" s="141"/>
      <c r="E19" s="185">
        <v>245700</v>
      </c>
      <c r="F19" s="345"/>
      <c r="G19" s="142">
        <f>G18-E19-F19</f>
        <v>612279.55000000005</v>
      </c>
      <c r="H19" s="150"/>
      <c r="J19" s="140"/>
      <c r="K19" s="138"/>
      <c r="L19" s="138"/>
    </row>
    <row r="20" spans="1:12" x14ac:dyDescent="0.3">
      <c r="A20" s="89" t="s">
        <v>2741</v>
      </c>
      <c r="B20" s="97" t="s">
        <v>2786</v>
      </c>
      <c r="C20" s="49" t="s">
        <v>2071</v>
      </c>
      <c r="D20" s="141"/>
      <c r="E20" s="350">
        <v>236250</v>
      </c>
      <c r="F20" s="345"/>
      <c r="G20" s="142">
        <f>G19-E20-F20</f>
        <v>376029.55000000005</v>
      </c>
      <c r="H20" s="150"/>
      <c r="J20" s="140"/>
      <c r="K20" s="138"/>
      <c r="L20" s="138"/>
    </row>
    <row r="21" spans="1:12" ht="18.75" x14ac:dyDescent="0.3">
      <c r="A21" s="89" t="s">
        <v>121</v>
      </c>
      <c r="B21" s="97"/>
      <c r="C21" s="76"/>
      <c r="D21" s="35">
        <v>-366579.55</v>
      </c>
      <c r="E21" s="350"/>
      <c r="F21" s="345"/>
      <c r="G21" s="289">
        <f>G20+D21</f>
        <v>9450.0000000000582</v>
      </c>
      <c r="H21" s="150"/>
      <c r="J21" s="140"/>
      <c r="K21" s="138"/>
      <c r="L21" s="138"/>
    </row>
    <row r="22" spans="1:12" x14ac:dyDescent="0.3">
      <c r="A22" s="89"/>
      <c r="B22" s="97"/>
      <c r="C22" s="76"/>
      <c r="D22" s="141"/>
      <c r="E22" s="141"/>
      <c r="F22" s="141"/>
      <c r="G22" s="142"/>
      <c r="H22" s="150"/>
      <c r="J22" s="140"/>
      <c r="K22" s="138"/>
      <c r="L22" s="138"/>
    </row>
    <row r="23" spans="1:12" ht="18" thickBot="1" x14ac:dyDescent="0.35">
      <c r="A23" s="89"/>
      <c r="B23" s="143"/>
      <c r="C23" s="131" t="s">
        <v>6</v>
      </c>
      <c r="D23" s="144">
        <f>SUM(D6:D22)</f>
        <v>3035420.45</v>
      </c>
      <c r="E23" s="144">
        <f>SUM(E6:E22)</f>
        <v>3025970.45</v>
      </c>
      <c r="F23" s="170">
        <f>SUM(F6:F22)</f>
        <v>0</v>
      </c>
      <c r="G23" s="144">
        <f>D23-E23-F23</f>
        <v>9450</v>
      </c>
      <c r="H23" s="94"/>
      <c r="J23" s="140"/>
      <c r="K23" s="138"/>
      <c r="L23" s="138"/>
    </row>
    <row r="24" spans="1:12" ht="18" thickTop="1" x14ac:dyDescent="0.3">
      <c r="B24" s="145"/>
      <c r="G24" s="132"/>
      <c r="J24" s="140"/>
      <c r="K24" s="138"/>
      <c r="L24" s="138"/>
    </row>
    <row r="25" spans="1:12" x14ac:dyDescent="0.3">
      <c r="G25" s="132"/>
      <c r="H25" s="164"/>
      <c r="J25" s="138"/>
      <c r="K25" s="138"/>
      <c r="L25" s="138"/>
    </row>
    <row r="26" spans="1:12" x14ac:dyDescent="0.3">
      <c r="G26" s="132"/>
      <c r="J26" s="138"/>
      <c r="K26" s="138"/>
      <c r="L26" s="138"/>
    </row>
    <row r="27" spans="1:12" x14ac:dyDescent="0.3">
      <c r="D27" s="132"/>
    </row>
    <row r="28" spans="1:12" x14ac:dyDescent="0.3">
      <c r="D28" s="132"/>
    </row>
    <row r="29" spans="1:12" x14ac:dyDescent="0.3">
      <c r="D29" s="132"/>
    </row>
    <row r="30" spans="1:12" x14ac:dyDescent="0.3">
      <c r="D30" s="139"/>
    </row>
    <row r="31" spans="1:12" x14ac:dyDescent="0.3">
      <c r="D31" s="139"/>
    </row>
    <row r="33" spans="4:4" x14ac:dyDescent="0.3">
      <c r="D33" s="147"/>
    </row>
  </sheetData>
  <mergeCells count="2">
    <mergeCell ref="A1:G1"/>
    <mergeCell ref="A2:H2"/>
  </mergeCells>
  <pageMargins left="0.5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Q19" sqref="Q19"/>
    </sheetView>
  </sheetViews>
  <sheetFormatPr defaultRowHeight="17.25" x14ac:dyDescent="0.3"/>
  <cols>
    <col min="1" max="1" width="8.7109375" style="78" customWidth="1"/>
    <col min="2" max="2" width="8.42578125" style="78" customWidth="1"/>
    <col min="3" max="3" width="26.42578125" style="78" customWidth="1"/>
    <col min="4" max="4" width="11.7109375" style="78" customWidth="1"/>
    <col min="5" max="5" width="12.28515625" style="78" customWidth="1"/>
    <col min="6" max="6" width="9.7109375" style="78" customWidth="1"/>
    <col min="7" max="7" width="11.85546875" style="78" customWidth="1"/>
    <col min="8" max="8" width="9.5703125" style="78" customWidth="1"/>
    <col min="9" max="9" width="9.140625" style="78"/>
    <col min="10" max="10" width="12.28515625" style="78" customWidth="1"/>
    <col min="11" max="11" width="11.140625" style="78" customWidth="1"/>
    <col min="12" max="16384" width="9.140625" style="78"/>
  </cols>
  <sheetData>
    <row r="1" spans="1:12" x14ac:dyDescent="0.3">
      <c r="A1" s="453" t="s">
        <v>209</v>
      </c>
      <c r="B1" s="453"/>
      <c r="C1" s="453"/>
      <c r="D1" s="453"/>
      <c r="E1" s="453"/>
      <c r="F1" s="453"/>
      <c r="G1" s="453"/>
      <c r="H1" s="77" t="s">
        <v>192</v>
      </c>
    </row>
    <row r="2" spans="1:12" x14ac:dyDescent="0.3">
      <c r="A2" s="453" t="s">
        <v>2665</v>
      </c>
      <c r="B2" s="453"/>
      <c r="C2" s="453"/>
      <c r="D2" s="453"/>
      <c r="E2" s="453"/>
      <c r="F2" s="453"/>
      <c r="G2" s="453"/>
      <c r="H2" s="453"/>
    </row>
    <row r="3" spans="1:12" x14ac:dyDescent="0.3">
      <c r="A3" s="77" t="s">
        <v>14</v>
      </c>
      <c r="B3" s="77"/>
      <c r="C3" s="77"/>
      <c r="D3" s="77"/>
      <c r="E3" s="77"/>
      <c r="F3" s="77"/>
      <c r="G3" s="77" t="s">
        <v>5</v>
      </c>
      <c r="H3" s="77" t="s">
        <v>143</v>
      </c>
    </row>
    <row r="4" spans="1:12" x14ac:dyDescent="0.3">
      <c r="A4" s="80" t="s">
        <v>16</v>
      </c>
      <c r="B4" s="80" t="s">
        <v>12</v>
      </c>
      <c r="C4" s="81" t="s">
        <v>4</v>
      </c>
      <c r="D4" s="82" t="s">
        <v>15</v>
      </c>
      <c r="E4" s="82" t="s">
        <v>1</v>
      </c>
      <c r="F4" s="82" t="s">
        <v>36</v>
      </c>
      <c r="G4" s="83" t="s">
        <v>2</v>
      </c>
      <c r="H4" s="104" t="s">
        <v>3</v>
      </c>
    </row>
    <row r="5" spans="1:12" x14ac:dyDescent="0.3">
      <c r="A5" s="84"/>
      <c r="B5" s="84"/>
      <c r="C5" s="85"/>
      <c r="D5" s="86" t="s">
        <v>0</v>
      </c>
      <c r="E5" s="86"/>
      <c r="F5" s="86" t="s">
        <v>34</v>
      </c>
      <c r="G5" s="87"/>
      <c r="H5" s="107" t="s">
        <v>17</v>
      </c>
    </row>
    <row r="6" spans="1:12" x14ac:dyDescent="0.3">
      <c r="A6" s="133" t="s">
        <v>190</v>
      </c>
      <c r="B6" s="90" t="s">
        <v>193</v>
      </c>
      <c r="C6" s="74" t="s">
        <v>194</v>
      </c>
      <c r="D6" s="134">
        <v>1955000</v>
      </c>
      <c r="E6" s="134"/>
      <c r="F6" s="91"/>
      <c r="G6" s="135">
        <f>D6</f>
        <v>1955000</v>
      </c>
      <c r="H6" s="195" t="s">
        <v>131</v>
      </c>
    </row>
    <row r="7" spans="1:12" x14ac:dyDescent="0.3">
      <c r="A7" s="133" t="s">
        <v>339</v>
      </c>
      <c r="B7" s="90" t="s">
        <v>346</v>
      </c>
      <c r="C7" s="49" t="s">
        <v>345</v>
      </c>
      <c r="D7" s="136"/>
      <c r="E7" s="148">
        <v>194933.33</v>
      </c>
      <c r="F7" s="93"/>
      <c r="G7" s="92">
        <f>G6-E7</f>
        <v>1760066.67</v>
      </c>
      <c r="H7" s="130"/>
    </row>
    <row r="8" spans="1:12" x14ac:dyDescent="0.3">
      <c r="A8" s="133" t="s">
        <v>639</v>
      </c>
      <c r="B8" s="90" t="s">
        <v>736</v>
      </c>
      <c r="C8" s="49" t="s">
        <v>780</v>
      </c>
      <c r="D8" s="136"/>
      <c r="E8" s="148">
        <v>391000</v>
      </c>
      <c r="F8" s="93"/>
      <c r="G8" s="92">
        <f>G7-E8</f>
        <v>1369066.67</v>
      </c>
      <c r="H8" s="130"/>
    </row>
    <row r="9" spans="1:12" x14ac:dyDescent="0.3">
      <c r="A9" s="133" t="s">
        <v>832</v>
      </c>
      <c r="B9" s="90" t="s">
        <v>833</v>
      </c>
      <c r="C9" s="49" t="s">
        <v>834</v>
      </c>
      <c r="D9" s="136"/>
      <c r="E9" s="148">
        <v>391000</v>
      </c>
      <c r="F9" s="93"/>
      <c r="G9" s="92">
        <f>G8-E9</f>
        <v>978066.66999999993</v>
      </c>
      <c r="H9" s="130"/>
    </row>
    <row r="10" spans="1:12" x14ac:dyDescent="0.3">
      <c r="A10" s="133" t="s">
        <v>1003</v>
      </c>
      <c r="B10" s="90" t="s">
        <v>1004</v>
      </c>
      <c r="C10" s="49" t="s">
        <v>1002</v>
      </c>
      <c r="D10" s="136"/>
      <c r="E10" s="148">
        <v>391000</v>
      </c>
      <c r="F10" s="93"/>
      <c r="G10" s="92">
        <f>G9-E10</f>
        <v>587066.66999999993</v>
      </c>
      <c r="H10" s="130"/>
    </row>
    <row r="11" spans="1:12" x14ac:dyDescent="0.3">
      <c r="A11" s="133" t="s">
        <v>1290</v>
      </c>
      <c r="B11" s="90" t="s">
        <v>1293</v>
      </c>
      <c r="C11" s="49" t="s">
        <v>1294</v>
      </c>
      <c r="D11" s="136"/>
      <c r="E11" s="148">
        <v>391000</v>
      </c>
      <c r="F11" s="93"/>
      <c r="G11" s="92">
        <f>G10-E11</f>
        <v>196066.66999999993</v>
      </c>
      <c r="H11" s="130"/>
    </row>
    <row r="12" spans="1:12" x14ac:dyDescent="0.3">
      <c r="A12" s="89" t="s">
        <v>1312</v>
      </c>
      <c r="B12" s="90" t="s">
        <v>1313</v>
      </c>
      <c r="C12" s="74" t="s">
        <v>1314</v>
      </c>
      <c r="D12" s="136">
        <v>1955000</v>
      </c>
      <c r="E12" s="93"/>
      <c r="F12" s="93"/>
      <c r="G12" s="92">
        <f>G11+D12</f>
        <v>2151066.67</v>
      </c>
      <c r="H12" s="94"/>
      <c r="J12" s="137"/>
    </row>
    <row r="13" spans="1:12" x14ac:dyDescent="0.3">
      <c r="A13" s="89" t="s">
        <v>1492</v>
      </c>
      <c r="B13" s="90" t="s">
        <v>1497</v>
      </c>
      <c r="C13" s="49" t="s">
        <v>1425</v>
      </c>
      <c r="D13" s="91"/>
      <c r="E13" s="91">
        <v>189198</v>
      </c>
      <c r="F13" s="91"/>
      <c r="G13" s="92">
        <f>G12-E13</f>
        <v>1961868.67</v>
      </c>
      <c r="H13" s="94"/>
      <c r="I13" s="138"/>
      <c r="J13" s="140"/>
      <c r="K13" s="138"/>
      <c r="L13" s="138"/>
    </row>
    <row r="14" spans="1:12" x14ac:dyDescent="0.3">
      <c r="A14" s="89" t="s">
        <v>1726</v>
      </c>
      <c r="B14" s="97"/>
      <c r="C14" s="49" t="s">
        <v>1599</v>
      </c>
      <c r="D14" s="136"/>
      <c r="E14" s="148">
        <v>390433.33</v>
      </c>
      <c r="F14" s="91"/>
      <c r="G14" s="92">
        <f>G13-E14</f>
        <v>1571435.3399999999</v>
      </c>
      <c r="H14" s="94"/>
      <c r="I14" s="138"/>
      <c r="J14" s="140"/>
      <c r="K14" s="138"/>
      <c r="L14" s="138"/>
    </row>
    <row r="15" spans="1:12" x14ac:dyDescent="0.3">
      <c r="A15" s="89" t="s">
        <v>1860</v>
      </c>
      <c r="B15" s="97" t="s">
        <v>2019</v>
      </c>
      <c r="C15" s="49" t="s">
        <v>2020</v>
      </c>
      <c r="D15" s="136">
        <v>-397868</v>
      </c>
      <c r="E15" s="148"/>
      <c r="F15" s="91"/>
      <c r="G15" s="92">
        <f>G14+D15</f>
        <v>1173567.3399999999</v>
      </c>
      <c r="H15" s="94"/>
      <c r="I15" s="138"/>
      <c r="J15" s="140"/>
      <c r="K15" s="138"/>
      <c r="L15" s="138"/>
    </row>
    <row r="16" spans="1:12" x14ac:dyDescent="0.3">
      <c r="A16" s="89" t="s">
        <v>2067</v>
      </c>
      <c r="B16" s="97" t="s">
        <v>2069</v>
      </c>
      <c r="C16" s="49" t="s">
        <v>1983</v>
      </c>
      <c r="D16" s="136"/>
      <c r="E16" s="148">
        <v>391000</v>
      </c>
      <c r="F16" s="91"/>
      <c r="G16" s="92">
        <f>G15-E16-F16</f>
        <v>782567.33999999985</v>
      </c>
      <c r="H16" s="94"/>
      <c r="I16" s="138"/>
      <c r="J16" s="140"/>
      <c r="K16" s="138"/>
      <c r="L16" s="138"/>
    </row>
    <row r="17" spans="1:12" x14ac:dyDescent="0.3">
      <c r="A17" s="89" t="s">
        <v>2517</v>
      </c>
      <c r="B17" s="97" t="s">
        <v>2527</v>
      </c>
      <c r="C17" s="49" t="s">
        <v>2070</v>
      </c>
      <c r="D17" s="136"/>
      <c r="E17" s="148">
        <v>391000</v>
      </c>
      <c r="F17" s="148"/>
      <c r="G17" s="92">
        <f t="shared" ref="G17:G18" si="0">G16-E17-F17</f>
        <v>391567.33999999985</v>
      </c>
      <c r="H17" s="94"/>
      <c r="I17" s="138"/>
      <c r="J17" s="140"/>
      <c r="K17" s="138"/>
      <c r="L17" s="138"/>
    </row>
    <row r="18" spans="1:12" x14ac:dyDescent="0.3">
      <c r="A18" s="89" t="s">
        <v>2864</v>
      </c>
      <c r="B18" s="97" t="s">
        <v>2869</v>
      </c>
      <c r="C18" s="49" t="s">
        <v>2071</v>
      </c>
      <c r="D18" s="345"/>
      <c r="E18" s="148">
        <v>391000</v>
      </c>
      <c r="F18" s="148"/>
      <c r="G18" s="92">
        <f t="shared" si="0"/>
        <v>567.33999999985099</v>
      </c>
      <c r="H18" s="150"/>
      <c r="I18" s="138"/>
      <c r="J18" s="140"/>
      <c r="K18" s="138"/>
      <c r="L18" s="138"/>
    </row>
    <row r="19" spans="1:12" x14ac:dyDescent="0.3">
      <c r="A19" s="89"/>
      <c r="B19" s="97"/>
      <c r="C19" s="76"/>
      <c r="D19" s="345"/>
      <c r="E19" s="350"/>
      <c r="F19" s="345"/>
      <c r="G19" s="142"/>
      <c r="H19" s="150"/>
      <c r="I19" s="138"/>
      <c r="J19" s="140"/>
      <c r="K19" s="138"/>
      <c r="L19" s="138"/>
    </row>
    <row r="20" spans="1:12" x14ac:dyDescent="0.3">
      <c r="A20" s="89"/>
      <c r="B20" s="97"/>
      <c r="C20" s="76"/>
      <c r="D20" s="141"/>
      <c r="E20" s="141"/>
      <c r="F20" s="141"/>
      <c r="G20" s="142"/>
      <c r="H20" s="150"/>
      <c r="I20" s="138"/>
      <c r="J20" s="140"/>
      <c r="K20" s="138"/>
      <c r="L20" s="138"/>
    </row>
    <row r="21" spans="1:12" ht="18" thickBot="1" x14ac:dyDescent="0.35">
      <c r="A21" s="89"/>
      <c r="B21" s="143"/>
      <c r="C21" s="131" t="s">
        <v>6</v>
      </c>
      <c r="D21" s="144">
        <f>SUM(D6:D20)</f>
        <v>3512132</v>
      </c>
      <c r="E21" s="144">
        <f>SUM(E6:E20)</f>
        <v>3511564.66</v>
      </c>
      <c r="F21" s="144">
        <f>SUM(F6:F20)</f>
        <v>0</v>
      </c>
      <c r="G21" s="144">
        <f>D21-E21-F21</f>
        <v>567.33999999985099</v>
      </c>
      <c r="H21" s="163"/>
      <c r="I21" s="138"/>
      <c r="J21" s="140"/>
      <c r="K21" s="138"/>
      <c r="L21" s="138"/>
    </row>
    <row r="22" spans="1:12" ht="18" thickTop="1" x14ac:dyDescent="0.3">
      <c r="B22" s="145"/>
      <c r="I22" s="138"/>
      <c r="J22" s="140"/>
      <c r="K22" s="138"/>
      <c r="L22" s="138"/>
    </row>
    <row r="23" spans="1:12" x14ac:dyDescent="0.3">
      <c r="I23" s="138"/>
      <c r="J23" s="138"/>
      <c r="K23" s="138"/>
      <c r="L23" s="138"/>
    </row>
    <row r="24" spans="1:12" x14ac:dyDescent="0.3">
      <c r="I24" s="138"/>
      <c r="J24" s="138"/>
      <c r="K24" s="138"/>
      <c r="L24" s="138"/>
    </row>
    <row r="25" spans="1:12" x14ac:dyDescent="0.3">
      <c r="D25" s="132"/>
    </row>
    <row r="26" spans="1:12" x14ac:dyDescent="0.3">
      <c r="D26" s="132"/>
    </row>
    <row r="27" spans="1:12" x14ac:dyDescent="0.3">
      <c r="D27" s="132"/>
    </row>
    <row r="28" spans="1:12" x14ac:dyDescent="0.3">
      <c r="D28" s="139"/>
    </row>
    <row r="29" spans="1:12" x14ac:dyDescent="0.3">
      <c r="D29" s="139"/>
    </row>
    <row r="31" spans="1:12" x14ac:dyDescent="0.3">
      <c r="D31" s="147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L15" sqref="L15"/>
    </sheetView>
  </sheetViews>
  <sheetFormatPr defaultRowHeight="17.25" x14ac:dyDescent="0.3"/>
  <cols>
    <col min="1" max="1" width="8.7109375" style="78" customWidth="1"/>
    <col min="2" max="2" width="8.42578125" style="78" customWidth="1"/>
    <col min="3" max="3" width="29.28515625" style="78" customWidth="1"/>
    <col min="4" max="4" width="11.7109375" style="78" customWidth="1"/>
    <col min="5" max="5" width="12.28515625" style="78" customWidth="1"/>
    <col min="6" max="6" width="7.28515625" style="78" customWidth="1"/>
    <col min="7" max="7" width="11.85546875" style="78" customWidth="1"/>
    <col min="8" max="8" width="9.5703125" style="78" customWidth="1"/>
    <col min="9" max="9" width="11.28515625" style="78" bestFit="1" customWidth="1"/>
    <col min="10" max="10" width="11.42578125" style="78" bestFit="1" customWidth="1"/>
    <col min="11" max="11" width="10.28515625" style="78" bestFit="1" customWidth="1"/>
    <col min="12" max="12" width="9.140625" style="78"/>
    <col min="13" max="13" width="14.42578125" style="78" customWidth="1"/>
    <col min="14" max="14" width="9.140625" style="78"/>
    <col min="15" max="15" width="12.28515625" style="78" customWidth="1"/>
    <col min="16" max="16" width="11.140625" style="78" customWidth="1"/>
    <col min="17" max="16384" width="9.140625" style="78"/>
  </cols>
  <sheetData>
    <row r="1" spans="1:17" x14ac:dyDescent="0.3">
      <c r="A1" s="453" t="s">
        <v>209</v>
      </c>
      <c r="B1" s="453"/>
      <c r="C1" s="453"/>
      <c r="D1" s="453"/>
      <c r="E1" s="453"/>
      <c r="F1" s="453"/>
      <c r="G1" s="453"/>
      <c r="H1" s="77" t="s">
        <v>160</v>
      </c>
    </row>
    <row r="2" spans="1:17" x14ac:dyDescent="0.3">
      <c r="A2" s="453" t="s">
        <v>2667</v>
      </c>
      <c r="B2" s="453"/>
      <c r="C2" s="453"/>
      <c r="D2" s="453"/>
      <c r="E2" s="453"/>
      <c r="F2" s="453"/>
      <c r="G2" s="453"/>
      <c r="H2" s="453"/>
    </row>
    <row r="3" spans="1:17" x14ac:dyDescent="0.3">
      <c r="A3" s="77" t="s">
        <v>14</v>
      </c>
      <c r="B3" s="77"/>
      <c r="C3" s="77"/>
      <c r="D3" s="77"/>
      <c r="E3" s="77"/>
      <c r="F3" s="77"/>
      <c r="G3" s="77" t="s">
        <v>5</v>
      </c>
      <c r="H3" s="77" t="s">
        <v>869</v>
      </c>
    </row>
    <row r="4" spans="1:17" x14ac:dyDescent="0.3">
      <c r="A4" s="80" t="s">
        <v>16</v>
      </c>
      <c r="B4" s="80" t="s">
        <v>12</v>
      </c>
      <c r="C4" s="81" t="s">
        <v>4</v>
      </c>
      <c r="D4" s="82" t="s">
        <v>15</v>
      </c>
      <c r="E4" s="82" t="s">
        <v>1</v>
      </c>
      <c r="F4" s="82" t="s">
        <v>36</v>
      </c>
      <c r="G4" s="83" t="s">
        <v>2</v>
      </c>
      <c r="H4" s="104" t="s">
        <v>3</v>
      </c>
    </row>
    <row r="5" spans="1:17" x14ac:dyDescent="0.3">
      <c r="A5" s="84"/>
      <c r="B5" s="84"/>
      <c r="C5" s="85"/>
      <c r="D5" s="86" t="s">
        <v>0</v>
      </c>
      <c r="E5" s="86"/>
      <c r="F5" s="86" t="s">
        <v>34</v>
      </c>
      <c r="G5" s="87"/>
      <c r="H5" s="107" t="s">
        <v>17</v>
      </c>
    </row>
    <row r="6" spans="1:17" x14ac:dyDescent="0.3">
      <c r="A6" s="133" t="s">
        <v>864</v>
      </c>
      <c r="B6" s="90" t="s">
        <v>870</v>
      </c>
      <c r="C6" s="74" t="s">
        <v>871</v>
      </c>
      <c r="D6" s="134">
        <v>61951</v>
      </c>
      <c r="E6" s="134"/>
      <c r="F6" s="91"/>
      <c r="G6" s="135">
        <f>D6</f>
        <v>61951</v>
      </c>
      <c r="H6" s="195" t="s">
        <v>171</v>
      </c>
    </row>
    <row r="7" spans="1:17" x14ac:dyDescent="0.3">
      <c r="A7" s="133"/>
      <c r="B7" s="90" t="s">
        <v>747</v>
      </c>
      <c r="C7" s="49" t="s">
        <v>1205</v>
      </c>
      <c r="D7" s="136"/>
      <c r="E7" s="148">
        <v>61951</v>
      </c>
      <c r="F7" s="93"/>
      <c r="G7" s="240">
        <v>0</v>
      </c>
      <c r="H7" s="94" t="s">
        <v>648</v>
      </c>
    </row>
    <row r="8" spans="1:17" x14ac:dyDescent="0.3">
      <c r="A8" s="133" t="s">
        <v>901</v>
      </c>
      <c r="B8" s="90" t="s">
        <v>902</v>
      </c>
      <c r="C8" s="49" t="s">
        <v>1084</v>
      </c>
      <c r="D8" s="136">
        <v>1332</v>
      </c>
      <c r="E8" s="148"/>
      <c r="F8" s="93"/>
      <c r="G8" s="92">
        <f>D8</f>
        <v>1332</v>
      </c>
      <c r="H8" s="94" t="s">
        <v>648</v>
      </c>
    </row>
    <row r="9" spans="1:17" x14ac:dyDescent="0.3">
      <c r="A9" s="89" t="s">
        <v>1080</v>
      </c>
      <c r="B9" s="97" t="s">
        <v>1081</v>
      </c>
      <c r="C9" s="49" t="s">
        <v>1083</v>
      </c>
      <c r="D9" s="136">
        <v>4620</v>
      </c>
      <c r="E9" s="148"/>
      <c r="F9" s="93"/>
      <c r="G9" s="92">
        <f>G8+D9</f>
        <v>5952</v>
      </c>
      <c r="H9" s="94" t="s">
        <v>648</v>
      </c>
    </row>
    <row r="10" spans="1:17" x14ac:dyDescent="0.3">
      <c r="A10" s="133"/>
      <c r="B10" s="90" t="s">
        <v>747</v>
      </c>
      <c r="C10" s="49" t="s">
        <v>1205</v>
      </c>
      <c r="D10" s="136"/>
      <c r="E10" s="136">
        <v>5952</v>
      </c>
      <c r="F10" s="93"/>
      <c r="G10" s="240">
        <f>G9-E10</f>
        <v>0</v>
      </c>
      <c r="H10" s="130"/>
    </row>
    <row r="11" spans="1:17" x14ac:dyDescent="0.3">
      <c r="A11" s="89" t="s">
        <v>1186</v>
      </c>
      <c r="B11" s="90" t="s">
        <v>1187</v>
      </c>
      <c r="C11" s="49" t="s">
        <v>1191</v>
      </c>
      <c r="D11" s="136">
        <v>39700</v>
      </c>
      <c r="E11" s="136"/>
      <c r="F11" s="93"/>
      <c r="G11" s="92">
        <f>G10+D11</f>
        <v>39700</v>
      </c>
      <c r="H11" s="231" t="s">
        <v>2133</v>
      </c>
    </row>
    <row r="12" spans="1:17" ht="18.75" x14ac:dyDescent="0.3">
      <c r="A12" s="89"/>
      <c r="B12" s="90" t="s">
        <v>747</v>
      </c>
      <c r="C12" s="49" t="s">
        <v>1205</v>
      </c>
      <c r="D12" s="136"/>
      <c r="E12" s="93">
        <v>39700</v>
      </c>
      <c r="F12" s="93"/>
      <c r="G12" s="256">
        <f>G11-E12</f>
        <v>0</v>
      </c>
      <c r="H12" s="94"/>
      <c r="O12" s="137"/>
    </row>
    <row r="13" spans="1:17" x14ac:dyDescent="0.3">
      <c r="A13" s="133" t="s">
        <v>1202</v>
      </c>
      <c r="B13" s="97" t="s">
        <v>1203</v>
      </c>
      <c r="C13" s="49" t="s">
        <v>1204</v>
      </c>
      <c r="D13" s="91">
        <v>1804</v>
      </c>
      <c r="E13" s="91"/>
      <c r="F13" s="91"/>
      <c r="G13" s="92">
        <f>D13</f>
        <v>1804</v>
      </c>
      <c r="H13" s="94" t="s">
        <v>648</v>
      </c>
      <c r="I13" s="138"/>
      <c r="J13" s="138"/>
      <c r="K13" s="138"/>
      <c r="L13" s="138"/>
      <c r="M13" s="139"/>
      <c r="N13" s="138"/>
      <c r="O13" s="140"/>
      <c r="P13" s="138"/>
      <c r="Q13" s="138"/>
    </row>
    <row r="14" spans="1:17" x14ac:dyDescent="0.3">
      <c r="A14" s="89"/>
      <c r="B14" s="90" t="s">
        <v>747</v>
      </c>
      <c r="C14" s="49" t="s">
        <v>1205</v>
      </c>
      <c r="D14" s="91"/>
      <c r="E14" s="91">
        <v>1804</v>
      </c>
      <c r="F14" s="91"/>
      <c r="G14" s="363">
        <f>G13-E14</f>
        <v>0</v>
      </c>
      <c r="H14" s="94"/>
      <c r="I14" s="138"/>
      <c r="J14" s="138"/>
      <c r="K14" s="138"/>
      <c r="L14" s="138"/>
      <c r="M14" s="139"/>
      <c r="N14" s="138"/>
      <c r="O14" s="140"/>
      <c r="P14" s="138"/>
      <c r="Q14" s="138"/>
    </row>
    <row r="15" spans="1:17" x14ac:dyDescent="0.3">
      <c r="A15" s="89"/>
      <c r="B15" s="97"/>
      <c r="C15" s="49"/>
      <c r="D15" s="91"/>
      <c r="E15" s="91"/>
      <c r="F15" s="91"/>
      <c r="G15" s="240"/>
      <c r="H15" s="94"/>
      <c r="I15" s="138"/>
      <c r="J15" s="138"/>
      <c r="K15" s="138"/>
      <c r="L15" s="138"/>
      <c r="M15" s="139"/>
      <c r="N15" s="138"/>
      <c r="O15" s="140"/>
      <c r="P15" s="138"/>
      <c r="Q15" s="138"/>
    </row>
    <row r="16" spans="1:17" x14ac:dyDescent="0.3">
      <c r="A16" s="89" t="s">
        <v>1753</v>
      </c>
      <c r="B16" s="97" t="s">
        <v>1755</v>
      </c>
      <c r="C16" s="49" t="s">
        <v>1756</v>
      </c>
      <c r="D16" s="91">
        <v>6900</v>
      </c>
      <c r="E16" s="91"/>
      <c r="F16" s="91"/>
      <c r="G16" s="92">
        <v>6900</v>
      </c>
      <c r="H16" s="231" t="s">
        <v>1757</v>
      </c>
      <c r="I16" s="138"/>
      <c r="J16" s="138"/>
      <c r="K16" s="138"/>
      <c r="L16" s="138"/>
      <c r="M16" s="139"/>
      <c r="N16" s="138"/>
      <c r="O16" s="140"/>
      <c r="P16" s="138"/>
      <c r="Q16" s="138"/>
    </row>
    <row r="17" spans="1:17" ht="18.75" x14ac:dyDescent="0.3">
      <c r="A17" s="89"/>
      <c r="B17" s="97"/>
      <c r="C17" s="49"/>
      <c r="D17" s="93">
        <v>-6900</v>
      </c>
      <c r="E17" s="93"/>
      <c r="F17" s="91"/>
      <c r="G17" s="256">
        <f>G16+D17</f>
        <v>0</v>
      </c>
      <c r="H17" s="231"/>
      <c r="I17" s="138"/>
      <c r="J17" s="138"/>
      <c r="K17" s="138"/>
      <c r="L17" s="138"/>
      <c r="M17" s="139"/>
      <c r="N17" s="138"/>
      <c r="O17" s="140"/>
      <c r="P17" s="138"/>
      <c r="Q17" s="138"/>
    </row>
    <row r="18" spans="1:17" x14ac:dyDescent="0.3">
      <c r="A18" s="89"/>
      <c r="B18" s="90"/>
      <c r="C18" s="49"/>
      <c r="D18" s="236"/>
      <c r="E18" s="93"/>
      <c r="F18" s="91"/>
      <c r="G18" s="92"/>
      <c r="H18" s="231"/>
      <c r="I18" s="138"/>
      <c r="J18" s="138"/>
      <c r="K18" s="138"/>
      <c r="L18" s="138"/>
      <c r="M18" s="139"/>
      <c r="N18" s="138"/>
      <c r="O18" s="140"/>
      <c r="P18" s="138"/>
      <c r="Q18" s="138"/>
    </row>
    <row r="19" spans="1:17" x14ac:dyDescent="0.3">
      <c r="A19" s="89" t="s">
        <v>1743</v>
      </c>
      <c r="B19" s="97" t="s">
        <v>1879</v>
      </c>
      <c r="C19" s="49" t="s">
        <v>1884</v>
      </c>
      <c r="D19" s="91">
        <v>11800</v>
      </c>
      <c r="E19" s="91"/>
      <c r="F19" s="134"/>
      <c r="G19" s="92">
        <f>G18+D19</f>
        <v>11800</v>
      </c>
      <c r="H19" s="94" t="s">
        <v>648</v>
      </c>
      <c r="I19" s="138"/>
      <c r="J19" s="138"/>
      <c r="K19" s="138"/>
      <c r="L19" s="138"/>
      <c r="M19" s="139"/>
      <c r="N19" s="138"/>
      <c r="O19" s="140"/>
      <c r="P19" s="138"/>
      <c r="Q19" s="138"/>
    </row>
    <row r="20" spans="1:17" x14ac:dyDescent="0.3">
      <c r="A20" s="89"/>
      <c r="B20" s="90" t="s">
        <v>747</v>
      </c>
      <c r="C20" s="49" t="s">
        <v>748</v>
      </c>
      <c r="D20" s="236"/>
      <c r="E20" s="93">
        <v>2593</v>
      </c>
      <c r="F20" s="345"/>
      <c r="G20" s="142">
        <f>G19-E20</f>
        <v>9207</v>
      </c>
      <c r="H20" s="150"/>
      <c r="I20" s="138"/>
      <c r="J20" s="138"/>
      <c r="K20" s="138"/>
      <c r="L20" s="138"/>
      <c r="M20" s="139"/>
      <c r="N20" s="138"/>
      <c r="O20" s="140"/>
      <c r="P20" s="138"/>
      <c r="Q20" s="138"/>
    </row>
    <row r="21" spans="1:17" ht="18.75" x14ac:dyDescent="0.3">
      <c r="A21" s="89"/>
      <c r="B21" s="97"/>
      <c r="C21" s="76"/>
      <c r="D21" s="141">
        <v>-9207</v>
      </c>
      <c r="E21" s="141"/>
      <c r="F21" s="345"/>
      <c r="G21" s="289">
        <f>G20+D21</f>
        <v>0</v>
      </c>
      <c r="H21" s="150"/>
      <c r="I21" s="138"/>
      <c r="J21" s="138"/>
      <c r="K21" s="138"/>
      <c r="L21" s="138"/>
      <c r="M21" s="139"/>
      <c r="N21" s="138"/>
      <c r="O21" s="140"/>
      <c r="P21" s="138"/>
      <c r="Q21" s="138"/>
    </row>
    <row r="22" spans="1:17" x14ac:dyDescent="0.3">
      <c r="A22" s="89"/>
      <c r="B22" s="97"/>
      <c r="C22" s="76"/>
      <c r="D22" s="141"/>
      <c r="E22" s="141"/>
      <c r="F22" s="141"/>
      <c r="G22" s="142"/>
      <c r="H22" s="150"/>
      <c r="I22" s="139"/>
      <c r="J22" s="138"/>
      <c r="K22" s="138"/>
      <c r="L22" s="138"/>
      <c r="M22" s="139"/>
      <c r="N22" s="138"/>
      <c r="O22" s="140"/>
      <c r="P22" s="138"/>
      <c r="Q22" s="138"/>
    </row>
    <row r="23" spans="1:17" ht="18" thickBot="1" x14ac:dyDescent="0.35">
      <c r="A23" s="89"/>
      <c r="B23" s="143"/>
      <c r="C23" s="131" t="s">
        <v>6</v>
      </c>
      <c r="D23" s="144">
        <f>SUM(D6:D22)</f>
        <v>112000</v>
      </c>
      <c r="E23" s="144">
        <f>SUM(E6:E22)</f>
        <v>112000</v>
      </c>
      <c r="F23" s="144">
        <f>SUM(F6:F22)</f>
        <v>0</v>
      </c>
      <c r="G23" s="144">
        <f>D23-E23-F23</f>
        <v>0</v>
      </c>
      <c r="H23" s="163"/>
      <c r="I23" s="139"/>
      <c r="J23" s="138"/>
      <c r="K23" s="138"/>
      <c r="L23" s="138"/>
      <c r="M23" s="139"/>
      <c r="N23" s="138"/>
      <c r="O23" s="140"/>
      <c r="P23" s="138"/>
      <c r="Q23" s="138"/>
    </row>
    <row r="24" spans="1:17" ht="18" thickTop="1" x14ac:dyDescent="0.3">
      <c r="B24" s="145"/>
      <c r="I24" s="139"/>
      <c r="J24" s="139"/>
      <c r="K24" s="138"/>
      <c r="L24" s="138"/>
      <c r="M24" s="139"/>
      <c r="N24" s="138"/>
      <c r="O24" s="140"/>
      <c r="P24" s="138"/>
      <c r="Q24" s="138"/>
    </row>
    <row r="25" spans="1:17" x14ac:dyDescent="0.3">
      <c r="I25" s="138"/>
      <c r="J25" s="146"/>
      <c r="K25" s="138"/>
      <c r="L25" s="138"/>
      <c r="M25" s="146"/>
      <c r="N25" s="138"/>
      <c r="O25" s="138"/>
      <c r="P25" s="138"/>
      <c r="Q25" s="138"/>
    </row>
    <row r="26" spans="1:17" x14ac:dyDescent="0.3">
      <c r="I26" s="138"/>
      <c r="J26" s="138"/>
      <c r="K26" s="138"/>
      <c r="L26" s="138"/>
      <c r="M26" s="138"/>
      <c r="N26" s="138"/>
      <c r="O26" s="138"/>
      <c r="P26" s="138"/>
      <c r="Q26" s="138"/>
    </row>
    <row r="27" spans="1:17" x14ac:dyDescent="0.3">
      <c r="D27" s="132"/>
    </row>
    <row r="28" spans="1:17" x14ac:dyDescent="0.3">
      <c r="D28" s="132"/>
    </row>
    <row r="29" spans="1:17" x14ac:dyDescent="0.3">
      <c r="D29" s="132"/>
    </row>
    <row r="30" spans="1:17" x14ac:dyDescent="0.3">
      <c r="D30" s="139"/>
    </row>
    <row r="31" spans="1:17" x14ac:dyDescent="0.3">
      <c r="D31" s="139"/>
    </row>
    <row r="33" spans="4:4" x14ac:dyDescent="0.3">
      <c r="D33" s="147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workbookViewId="0">
      <selection activeCell="L13" sqref="L13"/>
    </sheetView>
  </sheetViews>
  <sheetFormatPr defaultRowHeight="18.75" x14ac:dyDescent="0.3"/>
  <cols>
    <col min="1" max="1" width="7.85546875" style="78" customWidth="1"/>
    <col min="2" max="2" width="8.42578125" style="78" customWidth="1"/>
    <col min="3" max="3" width="25.5703125" style="78" customWidth="1"/>
    <col min="4" max="4" width="12" style="78" customWidth="1"/>
    <col min="5" max="5" width="11" style="78" customWidth="1"/>
    <col min="6" max="6" width="10.140625" style="78" customWidth="1"/>
    <col min="7" max="7" width="12.85546875" style="78" customWidth="1"/>
    <col min="8" max="8" width="9" style="78" customWidth="1"/>
    <col min="9" max="9" width="11.28515625" style="1" bestFit="1" customWidth="1"/>
    <col min="10" max="10" width="9.5703125" style="78" bestFit="1" customWidth="1"/>
    <col min="11" max="11" width="14" style="132" bestFit="1" customWidth="1"/>
    <col min="12" max="12" width="14.7109375" style="8" customWidth="1"/>
    <col min="13" max="13" width="14.42578125" style="78" customWidth="1"/>
    <col min="14" max="14" width="9.140625" style="78"/>
    <col min="15" max="15" width="11.5703125" style="78" bestFit="1" customWidth="1"/>
    <col min="16" max="16384" width="9.140625" style="78"/>
  </cols>
  <sheetData>
    <row r="1" spans="1:8" x14ac:dyDescent="0.3">
      <c r="A1" s="453" t="s">
        <v>209</v>
      </c>
      <c r="B1" s="453"/>
      <c r="C1" s="453"/>
      <c r="D1" s="453"/>
      <c r="E1" s="453"/>
      <c r="F1" s="453"/>
      <c r="G1" s="453"/>
      <c r="H1" s="77" t="s">
        <v>165</v>
      </c>
    </row>
    <row r="2" spans="1:8" x14ac:dyDescent="0.3">
      <c r="A2" s="453" t="s">
        <v>2854</v>
      </c>
      <c r="B2" s="453"/>
      <c r="C2" s="453"/>
      <c r="D2" s="453"/>
      <c r="E2" s="453"/>
      <c r="F2" s="453"/>
      <c r="G2" s="453"/>
      <c r="H2" s="453"/>
    </row>
    <row r="3" spans="1:8" x14ac:dyDescent="0.3">
      <c r="A3" s="77" t="s">
        <v>14</v>
      </c>
      <c r="B3" s="77"/>
      <c r="C3" s="77"/>
      <c r="D3" s="77"/>
      <c r="E3" s="77"/>
      <c r="F3" s="77"/>
      <c r="G3" s="77" t="s">
        <v>175</v>
      </c>
      <c r="H3" s="77" t="s">
        <v>176</v>
      </c>
    </row>
    <row r="4" spans="1:8" x14ac:dyDescent="0.3">
      <c r="A4" s="151"/>
      <c r="B4" s="151"/>
      <c r="C4" s="151"/>
      <c r="D4" s="151"/>
      <c r="E4" s="152"/>
      <c r="F4" s="152"/>
      <c r="G4" s="151"/>
      <c r="H4" s="151"/>
    </row>
    <row r="5" spans="1:8" x14ac:dyDescent="0.3">
      <c r="A5" s="156" t="s">
        <v>16</v>
      </c>
      <c r="B5" s="156" t="s">
        <v>12</v>
      </c>
      <c r="C5" s="153" t="s">
        <v>4</v>
      </c>
      <c r="D5" s="83" t="s">
        <v>15</v>
      </c>
      <c r="E5" s="82" t="s">
        <v>1</v>
      </c>
      <c r="F5" s="82" t="s">
        <v>34</v>
      </c>
      <c r="G5" s="83" t="s">
        <v>2</v>
      </c>
      <c r="H5" s="157" t="s">
        <v>17</v>
      </c>
    </row>
    <row r="6" spans="1:8" x14ac:dyDescent="0.3">
      <c r="A6" s="84"/>
      <c r="B6" s="84"/>
      <c r="C6" s="85"/>
      <c r="D6" s="87" t="s">
        <v>0</v>
      </c>
      <c r="E6" s="86"/>
      <c r="F6" s="86" t="s">
        <v>33</v>
      </c>
      <c r="G6" s="87"/>
      <c r="H6" s="158"/>
    </row>
    <row r="7" spans="1:8" x14ac:dyDescent="0.3">
      <c r="A7" s="133" t="s">
        <v>168</v>
      </c>
      <c r="B7" s="90" t="s">
        <v>170</v>
      </c>
      <c r="C7" s="74" t="s">
        <v>145</v>
      </c>
      <c r="D7" s="98">
        <v>200202</v>
      </c>
      <c r="E7" s="93"/>
      <c r="F7" s="93"/>
      <c r="G7" s="92">
        <f>D7-E7-F7</f>
        <v>200202</v>
      </c>
      <c r="H7" s="94" t="s">
        <v>171</v>
      </c>
    </row>
    <row r="8" spans="1:8" x14ac:dyDescent="0.3">
      <c r="A8" s="133" t="s">
        <v>254</v>
      </c>
      <c r="B8" s="90" t="s">
        <v>265</v>
      </c>
      <c r="C8" s="49" t="s">
        <v>255</v>
      </c>
      <c r="D8" s="98"/>
      <c r="E8" s="93">
        <v>130583</v>
      </c>
      <c r="F8" s="136"/>
      <c r="G8" s="92">
        <f>G7-E8</f>
        <v>69619</v>
      </c>
      <c r="H8" s="94"/>
    </row>
    <row r="9" spans="1:8" x14ac:dyDescent="0.3">
      <c r="A9" s="89" t="s">
        <v>591</v>
      </c>
      <c r="B9" s="90" t="s">
        <v>593</v>
      </c>
      <c r="C9" s="49" t="s">
        <v>387</v>
      </c>
      <c r="D9" s="98"/>
      <c r="E9" s="93">
        <v>65120</v>
      </c>
      <c r="F9" s="136"/>
      <c r="G9" s="92">
        <f>G8-E9</f>
        <v>4499</v>
      </c>
      <c r="H9" s="94"/>
    </row>
    <row r="10" spans="1:8" x14ac:dyDescent="0.3">
      <c r="A10" s="89" t="s">
        <v>591</v>
      </c>
      <c r="B10" s="90" t="s">
        <v>595</v>
      </c>
      <c r="C10" s="74" t="s">
        <v>597</v>
      </c>
      <c r="D10" s="98">
        <v>174800</v>
      </c>
      <c r="E10" s="93"/>
      <c r="F10" s="136"/>
      <c r="G10" s="92">
        <f>G9+D10</f>
        <v>179299</v>
      </c>
      <c r="H10" s="94"/>
    </row>
    <row r="11" spans="1:8" x14ac:dyDescent="0.3">
      <c r="A11" s="89" t="s">
        <v>658</v>
      </c>
      <c r="B11" s="90" t="s">
        <v>694</v>
      </c>
      <c r="C11" s="49" t="s">
        <v>656</v>
      </c>
      <c r="D11" s="98"/>
      <c r="E11" s="93">
        <v>65501</v>
      </c>
      <c r="F11" s="136"/>
      <c r="G11" s="92">
        <f>G10-E11</f>
        <v>113798</v>
      </c>
      <c r="H11" s="94"/>
    </row>
    <row r="12" spans="1:8" x14ac:dyDescent="0.3">
      <c r="A12" s="133" t="s">
        <v>901</v>
      </c>
      <c r="B12" s="97" t="s">
        <v>920</v>
      </c>
      <c r="C12" s="49" t="s">
        <v>892</v>
      </c>
      <c r="D12" s="98"/>
      <c r="E12" s="93">
        <v>66750</v>
      </c>
      <c r="F12" s="93"/>
      <c r="G12" s="92">
        <f>G11-E12</f>
        <v>47048</v>
      </c>
      <c r="H12" s="94"/>
    </row>
    <row r="13" spans="1:8" x14ac:dyDescent="0.3">
      <c r="A13" s="89" t="s">
        <v>1186</v>
      </c>
      <c r="B13" s="90" t="s">
        <v>1187</v>
      </c>
      <c r="C13" s="74" t="s">
        <v>1190</v>
      </c>
      <c r="D13" s="98">
        <v>221100</v>
      </c>
      <c r="E13" s="93"/>
      <c r="F13" s="93"/>
      <c r="G13" s="92">
        <f>G12+D13</f>
        <v>268148</v>
      </c>
      <c r="H13" s="94" t="s">
        <v>1196</v>
      </c>
    </row>
    <row r="14" spans="1:8" x14ac:dyDescent="0.3">
      <c r="A14" s="89" t="s">
        <v>1186</v>
      </c>
      <c r="B14" s="90" t="s">
        <v>1192</v>
      </c>
      <c r="C14" s="49" t="s">
        <v>1188</v>
      </c>
      <c r="D14" s="177"/>
      <c r="E14" s="93">
        <v>135000</v>
      </c>
      <c r="F14" s="93"/>
      <c r="G14" s="92">
        <f>G13-E14</f>
        <v>133148</v>
      </c>
      <c r="H14" s="94"/>
    </row>
    <row r="15" spans="1:8" x14ac:dyDescent="0.3">
      <c r="A15" s="89" t="s">
        <v>1408</v>
      </c>
      <c r="B15" s="90" t="s">
        <v>1422</v>
      </c>
      <c r="C15" s="49" t="s">
        <v>1420</v>
      </c>
      <c r="D15" s="177"/>
      <c r="E15" s="93">
        <v>67500</v>
      </c>
      <c r="F15" s="93"/>
      <c r="G15" s="92">
        <f>G14-E15</f>
        <v>65648</v>
      </c>
      <c r="H15" s="94"/>
    </row>
    <row r="16" spans="1:8" x14ac:dyDescent="0.3">
      <c r="A16" s="133" t="s">
        <v>1606</v>
      </c>
      <c r="B16" s="90" t="s">
        <v>1629</v>
      </c>
      <c r="C16" s="49" t="s">
        <v>1631</v>
      </c>
      <c r="D16" s="177"/>
      <c r="E16" s="268">
        <v>63000</v>
      </c>
      <c r="F16" s="93"/>
      <c r="G16" s="92">
        <f>G15-E16</f>
        <v>2648</v>
      </c>
      <c r="H16" s="94"/>
    </row>
    <row r="17" spans="1:12" x14ac:dyDescent="0.3">
      <c r="A17" s="89" t="s">
        <v>1186</v>
      </c>
      <c r="B17" s="90" t="s">
        <v>1187</v>
      </c>
      <c r="C17" s="49" t="s">
        <v>1191</v>
      </c>
      <c r="D17" s="177">
        <v>39700</v>
      </c>
      <c r="E17" s="93"/>
      <c r="F17" s="93"/>
      <c r="G17" s="92">
        <f>G16+D17</f>
        <v>42348</v>
      </c>
      <c r="H17" s="310"/>
    </row>
    <row r="18" spans="1:12" x14ac:dyDescent="0.3">
      <c r="A18" s="89"/>
      <c r="B18" s="90" t="s">
        <v>747</v>
      </c>
      <c r="C18" s="49" t="s">
        <v>1205</v>
      </c>
      <c r="D18" s="93"/>
      <c r="E18" s="268">
        <v>39700</v>
      </c>
      <c r="F18" s="93"/>
      <c r="G18" s="256">
        <f>G17-E18</f>
        <v>2648</v>
      </c>
      <c r="H18" s="94"/>
    </row>
    <row r="19" spans="1:12" x14ac:dyDescent="0.3">
      <c r="A19" s="133"/>
      <c r="B19" s="90"/>
      <c r="C19" s="49" t="s">
        <v>2134</v>
      </c>
      <c r="D19" s="93"/>
      <c r="E19" s="268">
        <v>-267</v>
      </c>
      <c r="F19" s="136"/>
      <c r="G19" s="92">
        <f>G18-E19</f>
        <v>2915</v>
      </c>
      <c r="H19" s="94"/>
    </row>
    <row r="20" spans="1:12" x14ac:dyDescent="0.3">
      <c r="A20" s="89"/>
      <c r="B20" s="90"/>
      <c r="C20" s="49"/>
      <c r="D20" s="93"/>
      <c r="E20" s="268"/>
      <c r="F20" s="136"/>
      <c r="G20" s="92"/>
      <c r="H20" s="94"/>
    </row>
    <row r="21" spans="1:12" x14ac:dyDescent="0.3">
      <c r="A21" s="89"/>
      <c r="B21" s="90"/>
      <c r="C21" s="49"/>
      <c r="D21" s="93"/>
      <c r="E21" s="268"/>
      <c r="F21" s="93"/>
      <c r="G21" s="92"/>
      <c r="H21" s="94"/>
    </row>
    <row r="22" spans="1:12" x14ac:dyDescent="0.3">
      <c r="A22" s="89" t="s">
        <v>190</v>
      </c>
      <c r="B22" s="90" t="s">
        <v>191</v>
      </c>
      <c r="C22" s="74" t="s">
        <v>146</v>
      </c>
      <c r="D22" s="98">
        <v>840160</v>
      </c>
      <c r="E22" s="93"/>
      <c r="F22" s="93"/>
      <c r="G22" s="92">
        <v>840160</v>
      </c>
      <c r="H22" s="94" t="s">
        <v>2013</v>
      </c>
    </row>
    <row r="23" spans="1:12" x14ac:dyDescent="0.3">
      <c r="A23" s="133" t="s">
        <v>266</v>
      </c>
      <c r="B23" s="90" t="s">
        <v>267</v>
      </c>
      <c r="C23" s="49" t="s">
        <v>255</v>
      </c>
      <c r="D23" s="98"/>
      <c r="E23" s="93">
        <v>273400</v>
      </c>
      <c r="F23" s="93"/>
      <c r="G23" s="92">
        <f t="shared" ref="G23:G30" si="0">G22-E23</f>
        <v>566760</v>
      </c>
      <c r="H23" s="94"/>
    </row>
    <row r="24" spans="1:12" x14ac:dyDescent="0.3">
      <c r="A24" s="89" t="s">
        <v>376</v>
      </c>
      <c r="B24" s="90" t="s">
        <v>386</v>
      </c>
      <c r="C24" s="49" t="s">
        <v>387</v>
      </c>
      <c r="D24" s="98"/>
      <c r="E24" s="93">
        <v>140200</v>
      </c>
      <c r="F24" s="93"/>
      <c r="G24" s="92">
        <f t="shared" si="0"/>
        <v>426560</v>
      </c>
      <c r="H24" s="94"/>
    </row>
    <row r="25" spans="1:12" x14ac:dyDescent="0.3">
      <c r="A25" s="89" t="s">
        <v>654</v>
      </c>
      <c r="B25" s="90" t="s">
        <v>655</v>
      </c>
      <c r="C25" s="49" t="s">
        <v>656</v>
      </c>
      <c r="D25" s="98"/>
      <c r="E25" s="93">
        <v>137200</v>
      </c>
      <c r="F25" s="93"/>
      <c r="G25" s="92">
        <f t="shared" si="0"/>
        <v>289360</v>
      </c>
      <c r="H25" s="94"/>
      <c r="K25" s="78"/>
    </row>
    <row r="26" spans="1:12" x14ac:dyDescent="0.3">
      <c r="A26" s="89" t="s">
        <v>857</v>
      </c>
      <c r="B26" s="90" t="s">
        <v>875</v>
      </c>
      <c r="C26" s="49" t="s">
        <v>876</v>
      </c>
      <c r="D26" s="98"/>
      <c r="E26" s="93">
        <v>80964</v>
      </c>
      <c r="F26" s="93"/>
      <c r="G26" s="92">
        <f t="shared" si="0"/>
        <v>208396</v>
      </c>
      <c r="H26" s="94"/>
      <c r="K26" s="78"/>
    </row>
    <row r="27" spans="1:12" x14ac:dyDescent="0.3">
      <c r="A27" s="89" t="s">
        <v>885</v>
      </c>
      <c r="B27" s="90" t="s">
        <v>891</v>
      </c>
      <c r="C27" s="49" t="s">
        <v>892</v>
      </c>
      <c r="D27" s="98"/>
      <c r="E27" s="93">
        <v>136000</v>
      </c>
      <c r="F27" s="93"/>
      <c r="G27" s="92">
        <f t="shared" si="0"/>
        <v>72396</v>
      </c>
      <c r="H27" s="94"/>
      <c r="K27" s="78"/>
    </row>
    <row r="28" spans="1:12" x14ac:dyDescent="0.3">
      <c r="A28" s="89" t="s">
        <v>981</v>
      </c>
      <c r="B28" s="90" t="s">
        <v>982</v>
      </c>
      <c r="C28" s="49" t="s">
        <v>983</v>
      </c>
      <c r="D28" s="98"/>
      <c r="E28" s="93">
        <v>24600</v>
      </c>
      <c r="F28" s="93"/>
      <c r="G28" s="92">
        <f t="shared" si="0"/>
        <v>47796</v>
      </c>
      <c r="H28" s="94"/>
      <c r="K28" s="78"/>
    </row>
    <row r="29" spans="1:12" x14ac:dyDescent="0.3">
      <c r="A29" s="89" t="s">
        <v>988</v>
      </c>
      <c r="B29" s="90" t="s">
        <v>990</v>
      </c>
      <c r="C29" s="49" t="s">
        <v>991</v>
      </c>
      <c r="D29" s="98"/>
      <c r="E29" s="93">
        <v>7000</v>
      </c>
      <c r="F29" s="93"/>
      <c r="G29" s="92">
        <f t="shared" si="0"/>
        <v>40796</v>
      </c>
      <c r="H29" s="94"/>
      <c r="K29" s="78"/>
      <c r="L29" s="8">
        <v>33000</v>
      </c>
    </row>
    <row r="30" spans="1:12" x14ac:dyDescent="0.3">
      <c r="A30" s="89" t="s">
        <v>1006</v>
      </c>
      <c r="B30" s="90" t="s">
        <v>1028</v>
      </c>
      <c r="C30" s="49" t="s">
        <v>1029</v>
      </c>
      <c r="D30" s="98"/>
      <c r="E30" s="93">
        <v>11400</v>
      </c>
      <c r="F30" s="136"/>
      <c r="G30" s="92">
        <f t="shared" si="0"/>
        <v>29396</v>
      </c>
      <c r="H30" s="94"/>
      <c r="K30" s="78"/>
      <c r="L30" s="8">
        <v>31000</v>
      </c>
    </row>
    <row r="31" spans="1:12" x14ac:dyDescent="0.3">
      <c r="A31" s="89" t="s">
        <v>1061</v>
      </c>
      <c r="B31" s="90" t="s">
        <v>1062</v>
      </c>
      <c r="C31" s="74" t="s">
        <v>1063</v>
      </c>
      <c r="D31" s="98">
        <v>1269240</v>
      </c>
      <c r="E31" s="93"/>
      <c r="F31" s="93"/>
      <c r="G31" s="92">
        <f>G30+D31</f>
        <v>1298636</v>
      </c>
      <c r="H31" s="94"/>
      <c r="K31" s="78"/>
      <c r="L31" s="8">
        <v>33000</v>
      </c>
    </row>
    <row r="32" spans="1:12" x14ac:dyDescent="0.3">
      <c r="A32" s="89" t="s">
        <v>1151</v>
      </c>
      <c r="B32" s="90" t="s">
        <v>1150</v>
      </c>
      <c r="C32" s="49" t="s">
        <v>1064</v>
      </c>
      <c r="D32" s="98"/>
      <c r="E32" s="93">
        <v>161500</v>
      </c>
      <c r="F32" s="93"/>
      <c r="G32" s="92">
        <f>G31-E32</f>
        <v>1137136</v>
      </c>
      <c r="H32" s="94"/>
      <c r="I32" s="1">
        <v>75800</v>
      </c>
      <c r="K32" s="78"/>
      <c r="L32" s="8">
        <v>86000</v>
      </c>
    </row>
    <row r="33" spans="1:15" x14ac:dyDescent="0.3">
      <c r="A33" s="89" t="s">
        <v>1233</v>
      </c>
      <c r="B33" s="90" t="s">
        <v>1234</v>
      </c>
      <c r="C33" s="49" t="s">
        <v>1235</v>
      </c>
      <c r="D33" s="98"/>
      <c r="E33" s="93">
        <v>163600</v>
      </c>
      <c r="F33" s="93"/>
      <c r="G33" s="92">
        <f>G32-E33</f>
        <v>973536</v>
      </c>
      <c r="H33" s="94"/>
      <c r="I33" s="1">
        <v>85700</v>
      </c>
      <c r="K33" s="78"/>
      <c r="L33" s="8">
        <v>33000</v>
      </c>
    </row>
    <row r="34" spans="1:15" x14ac:dyDescent="0.3">
      <c r="A34" s="89" t="s">
        <v>1473</v>
      </c>
      <c r="B34" s="90" t="s">
        <v>1472</v>
      </c>
      <c r="C34" s="49" t="s">
        <v>1425</v>
      </c>
      <c r="D34" s="98"/>
      <c r="E34" s="93">
        <v>175300</v>
      </c>
      <c r="F34" s="93"/>
      <c r="G34" s="92">
        <f>G33-E34</f>
        <v>798236</v>
      </c>
      <c r="H34" s="94"/>
      <c r="K34" s="78"/>
      <c r="L34" s="8">
        <v>214000</v>
      </c>
    </row>
    <row r="35" spans="1:15" x14ac:dyDescent="0.3">
      <c r="A35" s="89" t="s">
        <v>1592</v>
      </c>
      <c r="B35" s="90" t="s">
        <v>1598</v>
      </c>
      <c r="C35" s="49" t="s">
        <v>1599</v>
      </c>
      <c r="D35" s="98"/>
      <c r="E35" s="93">
        <v>155800</v>
      </c>
      <c r="F35" s="93"/>
      <c r="G35" s="92">
        <f>G34-E35</f>
        <v>642436</v>
      </c>
      <c r="H35" s="94"/>
      <c r="K35" s="78"/>
      <c r="L35" s="8">
        <v>21000</v>
      </c>
    </row>
    <row r="36" spans="1:15" x14ac:dyDescent="0.3">
      <c r="A36" s="89" t="s">
        <v>1753</v>
      </c>
      <c r="B36" s="90" t="s">
        <v>1754</v>
      </c>
      <c r="C36" s="74" t="s">
        <v>1752</v>
      </c>
      <c r="D36" s="98">
        <v>114000</v>
      </c>
      <c r="E36" s="93"/>
      <c r="F36" s="93"/>
      <c r="G36" s="92">
        <f>G35+D36</f>
        <v>756436</v>
      </c>
      <c r="H36" s="94"/>
      <c r="K36" s="78"/>
      <c r="L36" s="8">
        <v>108000</v>
      </c>
    </row>
    <row r="37" spans="1:15" x14ac:dyDescent="0.3">
      <c r="A37" s="89" t="s">
        <v>1848</v>
      </c>
      <c r="B37" s="90" t="s">
        <v>1897</v>
      </c>
      <c r="C37" s="49" t="s">
        <v>1896</v>
      </c>
      <c r="D37" s="98"/>
      <c r="E37" s="93">
        <v>139800</v>
      </c>
      <c r="F37" s="93"/>
      <c r="G37" s="92">
        <f>G36-E37</f>
        <v>616636</v>
      </c>
      <c r="H37" s="94"/>
      <c r="K37" s="78"/>
      <c r="L37" s="8">
        <v>15000</v>
      </c>
    </row>
    <row r="38" spans="1:15" x14ac:dyDescent="0.3">
      <c r="A38" s="89"/>
      <c r="B38" s="90"/>
      <c r="C38" s="74" t="s">
        <v>2112</v>
      </c>
      <c r="D38" s="98">
        <v>-250000</v>
      </c>
      <c r="E38" s="93"/>
      <c r="F38" s="93"/>
      <c r="G38" s="92">
        <f>G37+D38</f>
        <v>366636</v>
      </c>
      <c r="H38" s="94"/>
      <c r="K38" s="78"/>
      <c r="L38" s="8">
        <v>7000</v>
      </c>
    </row>
    <row r="39" spans="1:15" x14ac:dyDescent="0.3">
      <c r="A39" s="89" t="s">
        <v>2136</v>
      </c>
      <c r="B39" s="90" t="s">
        <v>2213</v>
      </c>
      <c r="C39" s="49" t="s">
        <v>2132</v>
      </c>
      <c r="D39" s="98"/>
      <c r="E39" s="93">
        <v>148800</v>
      </c>
      <c r="F39" s="93"/>
      <c r="G39" s="92">
        <f>G38-E39</f>
        <v>217836</v>
      </c>
      <c r="H39" s="94"/>
      <c r="I39" s="1">
        <v>169300</v>
      </c>
      <c r="K39" s="78"/>
      <c r="L39" s="8">
        <v>21000</v>
      </c>
    </row>
    <row r="40" spans="1:15" x14ac:dyDescent="0.3">
      <c r="A40" s="89" t="s">
        <v>2689</v>
      </c>
      <c r="B40" s="90" t="s">
        <v>2710</v>
      </c>
      <c r="C40" s="49" t="s">
        <v>2709</v>
      </c>
      <c r="D40" s="98"/>
      <c r="E40" s="93">
        <v>202300</v>
      </c>
      <c r="F40" s="93"/>
      <c r="G40" s="92">
        <f>G39-E40-F40</f>
        <v>15536</v>
      </c>
      <c r="H40" s="94"/>
      <c r="I40" s="1">
        <v>20500</v>
      </c>
      <c r="K40" s="78"/>
      <c r="L40" s="291">
        <f>SUM(L29:L39)</f>
        <v>602000</v>
      </c>
    </row>
    <row r="41" spans="1:15" x14ac:dyDescent="0.3">
      <c r="A41" s="89" t="s">
        <v>2723</v>
      </c>
      <c r="B41" s="90" t="s">
        <v>2730</v>
      </c>
      <c r="C41" s="74" t="s">
        <v>2731</v>
      </c>
      <c r="D41" s="98">
        <v>755000</v>
      </c>
      <c r="E41" s="93"/>
      <c r="F41" s="93"/>
      <c r="G41" s="92">
        <f>G40+D41</f>
        <v>770536</v>
      </c>
      <c r="H41" s="94"/>
      <c r="I41" s="1">
        <f>I39-I40</f>
        <v>148800</v>
      </c>
      <c r="K41" s="78"/>
    </row>
    <row r="42" spans="1:15" x14ac:dyDescent="0.3">
      <c r="A42" s="89"/>
      <c r="B42" s="90" t="s">
        <v>2850</v>
      </c>
      <c r="C42" s="74" t="s">
        <v>2851</v>
      </c>
      <c r="D42" s="98"/>
      <c r="E42" s="93">
        <v>136000</v>
      </c>
      <c r="F42" s="93"/>
      <c r="G42" s="92">
        <f>G41-E42-F42</f>
        <v>634536</v>
      </c>
      <c r="H42" s="94"/>
      <c r="K42" s="78"/>
    </row>
    <row r="43" spans="1:15" x14ac:dyDescent="0.3">
      <c r="A43" s="89"/>
      <c r="B43" s="90" t="s">
        <v>2853</v>
      </c>
      <c r="C43" s="74" t="s">
        <v>2852</v>
      </c>
      <c r="D43" s="98"/>
      <c r="E43" s="93">
        <v>278100</v>
      </c>
      <c r="F43" s="93"/>
      <c r="G43" s="92">
        <f>G42-E43-F43</f>
        <v>356436</v>
      </c>
      <c r="H43" s="94"/>
      <c r="K43" s="78"/>
    </row>
    <row r="44" spans="1:15" x14ac:dyDescent="0.3">
      <c r="A44" s="89"/>
      <c r="B44" s="90"/>
      <c r="C44" s="74"/>
      <c r="D44" s="98"/>
      <c r="E44" s="93"/>
      <c r="F44" s="93"/>
      <c r="G44" s="92"/>
      <c r="H44" s="94"/>
      <c r="K44" s="78"/>
    </row>
    <row r="45" spans="1:15" x14ac:dyDescent="0.3">
      <c r="A45" s="133"/>
      <c r="B45" s="159"/>
      <c r="C45" s="154"/>
      <c r="D45" s="98"/>
      <c r="E45" s="93"/>
      <c r="F45" s="93"/>
      <c r="G45" s="92"/>
      <c r="H45" s="94"/>
      <c r="L45" s="8">
        <v>172000</v>
      </c>
      <c r="M45" s="132"/>
    </row>
    <row r="46" spans="1:15" ht="19.5" thickBot="1" x14ac:dyDescent="0.35">
      <c r="A46" s="143"/>
      <c r="B46" s="160"/>
      <c r="C46" s="131" t="s">
        <v>6</v>
      </c>
      <c r="D46" s="161">
        <f>SUM(D7:D45)</f>
        <v>3364202</v>
      </c>
      <c r="E46" s="162">
        <f>SUM(E7:E45)</f>
        <v>3004851</v>
      </c>
      <c r="F46" s="162">
        <f>SUM(F7:F45)</f>
        <v>0</v>
      </c>
      <c r="G46" s="144">
        <f>D46-E46-F46</f>
        <v>359351</v>
      </c>
      <c r="H46" s="163"/>
      <c r="L46" s="8">
        <v>300000</v>
      </c>
      <c r="M46" s="132"/>
    </row>
    <row r="47" spans="1:15" ht="19.5" thickTop="1" x14ac:dyDescent="0.3">
      <c r="I47" s="1">
        <f>187*2000</f>
        <v>374000</v>
      </c>
      <c r="K47" s="139"/>
      <c r="L47" s="190">
        <f>SUM(L45:L46)</f>
        <v>472000</v>
      </c>
      <c r="M47" s="139"/>
      <c r="N47" s="138"/>
      <c r="O47" s="165"/>
    </row>
    <row r="48" spans="1:15" x14ac:dyDescent="0.3">
      <c r="G48" s="132"/>
      <c r="K48" s="139"/>
      <c r="L48" s="190"/>
      <c r="M48" s="139"/>
      <c r="N48" s="138"/>
    </row>
    <row r="49" spans="4:14" x14ac:dyDescent="0.3">
      <c r="G49" s="132"/>
      <c r="K49" s="139"/>
      <c r="L49" s="190"/>
      <c r="M49" s="146"/>
      <c r="N49" s="138"/>
    </row>
    <row r="50" spans="4:14" x14ac:dyDescent="0.3">
      <c r="G50" s="132"/>
      <c r="K50" s="213"/>
      <c r="L50" s="190"/>
      <c r="M50" s="138"/>
      <c r="N50" s="138"/>
    </row>
    <row r="51" spans="4:14" x14ac:dyDescent="0.3">
      <c r="G51" s="164"/>
      <c r="K51" s="166"/>
      <c r="L51" s="364"/>
      <c r="M51" s="132"/>
    </row>
    <row r="52" spans="4:14" x14ac:dyDescent="0.3">
      <c r="G52" s="164"/>
      <c r="M52" s="164"/>
    </row>
    <row r="53" spans="4:14" x14ac:dyDescent="0.3">
      <c r="E53" s="132"/>
    </row>
    <row r="55" spans="4:14" x14ac:dyDescent="0.3">
      <c r="M55" s="164"/>
    </row>
    <row r="56" spans="4:14" x14ac:dyDescent="0.3">
      <c r="M56" s="132"/>
    </row>
    <row r="57" spans="4:14" x14ac:dyDescent="0.3">
      <c r="M57" s="132"/>
    </row>
    <row r="58" spans="4:14" x14ac:dyDescent="0.3">
      <c r="M58" s="164"/>
    </row>
    <row r="59" spans="4:14" x14ac:dyDescent="0.3">
      <c r="D59" s="132"/>
      <c r="E59" s="155"/>
      <c r="F59" s="155"/>
      <c r="M59" s="155"/>
    </row>
    <row r="60" spans="4:14" x14ac:dyDescent="0.3">
      <c r="D60" s="132"/>
      <c r="E60" s="155"/>
      <c r="F60" s="155"/>
      <c r="K60" s="132">
        <f>L55-K59</f>
        <v>0</v>
      </c>
      <c r="M60" s="155"/>
    </row>
    <row r="61" spans="4:14" x14ac:dyDescent="0.3">
      <c r="D61" s="132"/>
      <c r="E61" s="155"/>
      <c r="F61" s="155"/>
      <c r="M61" s="155"/>
    </row>
    <row r="62" spans="4:14" x14ac:dyDescent="0.3">
      <c r="D62" s="132"/>
      <c r="E62" s="155"/>
      <c r="F62" s="155"/>
      <c r="M62" s="155"/>
    </row>
    <row r="64" spans="4:14" ht="19.5" thickBot="1" x14ac:dyDescent="0.35">
      <c r="D64" s="146"/>
      <c r="L64" s="365"/>
    </row>
    <row r="65" ht="19.5" thickTop="1" x14ac:dyDescent="0.3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K18" sqref="K18"/>
    </sheetView>
  </sheetViews>
  <sheetFormatPr defaultRowHeight="18.75" x14ac:dyDescent="0.3"/>
  <cols>
    <col min="1" max="1" width="7.85546875" style="78" customWidth="1"/>
    <col min="2" max="2" width="8.42578125" style="78" customWidth="1"/>
    <col min="3" max="3" width="25.5703125" style="78" customWidth="1"/>
    <col min="4" max="4" width="12" style="78" customWidth="1"/>
    <col min="5" max="5" width="11" style="78" customWidth="1"/>
    <col min="6" max="6" width="10.140625" style="78" customWidth="1"/>
    <col min="7" max="7" width="12.85546875" style="78" customWidth="1"/>
    <col min="8" max="8" width="9" style="78" customWidth="1"/>
    <col min="9" max="9" width="11.28515625" style="1" bestFit="1" customWidth="1"/>
    <col min="10" max="10" width="9.5703125" style="78" bestFit="1" customWidth="1"/>
    <col min="11" max="11" width="14" style="132" bestFit="1" customWidth="1"/>
    <col min="12" max="12" width="14.7109375" style="78" customWidth="1"/>
    <col min="13" max="13" width="14.42578125" style="78" customWidth="1"/>
    <col min="14" max="14" width="9.140625" style="78"/>
    <col min="15" max="15" width="11.5703125" style="78" bestFit="1" customWidth="1"/>
    <col min="16" max="16384" width="9.140625" style="78"/>
  </cols>
  <sheetData>
    <row r="1" spans="1:8" x14ac:dyDescent="0.3">
      <c r="A1" s="453" t="s">
        <v>209</v>
      </c>
      <c r="B1" s="453"/>
      <c r="C1" s="453"/>
      <c r="D1" s="453"/>
      <c r="E1" s="453"/>
      <c r="F1" s="453"/>
      <c r="G1" s="453"/>
      <c r="H1" s="77" t="s">
        <v>160</v>
      </c>
    </row>
    <row r="2" spans="1:8" x14ac:dyDescent="0.3">
      <c r="A2" s="453" t="s">
        <v>2925</v>
      </c>
      <c r="B2" s="453"/>
      <c r="C2" s="453"/>
      <c r="D2" s="453"/>
      <c r="E2" s="453"/>
      <c r="F2" s="453"/>
      <c r="G2" s="453"/>
      <c r="H2" s="453"/>
    </row>
    <row r="3" spans="1:8" x14ac:dyDescent="0.3">
      <c r="A3" s="77" t="s">
        <v>14</v>
      </c>
      <c r="B3" s="77"/>
      <c r="C3" s="77"/>
      <c r="D3" s="77"/>
      <c r="E3" s="77"/>
      <c r="F3" s="77"/>
      <c r="G3" s="77" t="s">
        <v>166</v>
      </c>
      <c r="H3" s="77" t="s">
        <v>426</v>
      </c>
    </row>
    <row r="4" spans="1:8" x14ac:dyDescent="0.3">
      <c r="A4" s="151"/>
      <c r="B4" s="151"/>
      <c r="C4" s="151"/>
      <c r="D4" s="151"/>
      <c r="E4" s="152"/>
      <c r="F4" s="152"/>
      <c r="G4" s="151"/>
      <c r="H4" s="151"/>
    </row>
    <row r="5" spans="1:8" x14ac:dyDescent="0.3">
      <c r="A5" s="156" t="s">
        <v>16</v>
      </c>
      <c r="B5" s="156" t="s">
        <v>12</v>
      </c>
      <c r="C5" s="153" t="s">
        <v>4</v>
      </c>
      <c r="D5" s="83" t="s">
        <v>15</v>
      </c>
      <c r="E5" s="82" t="s">
        <v>1</v>
      </c>
      <c r="F5" s="82" t="s">
        <v>34</v>
      </c>
      <c r="G5" s="83" t="s">
        <v>2</v>
      </c>
      <c r="H5" s="157" t="s">
        <v>17</v>
      </c>
    </row>
    <row r="6" spans="1:8" x14ac:dyDescent="0.3">
      <c r="A6" s="84"/>
      <c r="B6" s="84"/>
      <c r="C6" s="85"/>
      <c r="D6" s="87" t="s">
        <v>0</v>
      </c>
      <c r="E6" s="86"/>
      <c r="F6" s="86" t="s">
        <v>33</v>
      </c>
      <c r="G6" s="87"/>
      <c r="H6" s="158"/>
    </row>
    <row r="7" spans="1:8" x14ac:dyDescent="0.3">
      <c r="A7" s="133"/>
      <c r="B7" s="90"/>
      <c r="C7" s="74"/>
      <c r="D7" s="98"/>
      <c r="E7" s="93"/>
      <c r="F7" s="93"/>
      <c r="G7" s="92"/>
      <c r="H7" s="94" t="s">
        <v>663</v>
      </c>
    </row>
    <row r="8" spans="1:8" x14ac:dyDescent="0.3">
      <c r="A8" s="89" t="s">
        <v>1743</v>
      </c>
      <c r="B8" s="90" t="s">
        <v>1879</v>
      </c>
      <c r="C8" s="74" t="s">
        <v>1881</v>
      </c>
      <c r="D8" s="177">
        <v>206000</v>
      </c>
      <c r="E8" s="93"/>
      <c r="F8" s="93"/>
      <c r="G8" s="92">
        <f>G7+D8</f>
        <v>206000</v>
      </c>
      <c r="H8" s="310" t="s">
        <v>1882</v>
      </c>
    </row>
    <row r="9" spans="1:8" x14ac:dyDescent="0.3">
      <c r="A9" s="133" t="s">
        <v>1950</v>
      </c>
      <c r="B9" s="90" t="s">
        <v>1985</v>
      </c>
      <c r="C9" s="49" t="s">
        <v>1983</v>
      </c>
      <c r="D9" s="93"/>
      <c r="E9" s="268">
        <v>61666</v>
      </c>
      <c r="F9" s="93"/>
      <c r="G9" s="92">
        <f>G8-E9</f>
        <v>144334</v>
      </c>
      <c r="H9" s="94"/>
    </row>
    <row r="10" spans="1:8" x14ac:dyDescent="0.3">
      <c r="A10" s="133" t="s">
        <v>2251</v>
      </c>
      <c r="B10" s="90" t="s">
        <v>2256</v>
      </c>
      <c r="C10" s="49" t="s">
        <v>2070</v>
      </c>
      <c r="D10" s="93"/>
      <c r="E10" s="268">
        <v>61500</v>
      </c>
      <c r="F10" s="136"/>
      <c r="G10" s="92">
        <f>G9-E10-F10</f>
        <v>82834</v>
      </c>
      <c r="H10" s="94"/>
    </row>
    <row r="11" spans="1:8" x14ac:dyDescent="0.3">
      <c r="A11" s="89" t="s">
        <v>2741</v>
      </c>
      <c r="B11" s="90" t="s">
        <v>2782</v>
      </c>
      <c r="C11" s="49" t="s">
        <v>2709</v>
      </c>
      <c r="D11" s="93"/>
      <c r="E11" s="268">
        <v>62250</v>
      </c>
      <c r="F11" s="136"/>
      <c r="G11" s="92">
        <f>G10-E11-F11</f>
        <v>20584</v>
      </c>
      <c r="H11" s="94"/>
    </row>
    <row r="12" spans="1:8" x14ac:dyDescent="0.3">
      <c r="A12" s="133"/>
      <c r="B12" s="97"/>
      <c r="C12" s="49"/>
      <c r="D12" s="98"/>
      <c r="E12" s="93"/>
      <c r="F12" s="93"/>
      <c r="G12" s="92"/>
      <c r="H12" s="94"/>
    </row>
    <row r="13" spans="1:8" x14ac:dyDescent="0.3">
      <c r="A13" s="89"/>
      <c r="B13" s="90"/>
      <c r="C13" s="49"/>
      <c r="D13" s="98"/>
      <c r="E13" s="93"/>
      <c r="F13" s="93"/>
      <c r="G13" s="92"/>
      <c r="H13" s="94"/>
    </row>
    <row r="14" spans="1:8" x14ac:dyDescent="0.3">
      <c r="A14" s="89"/>
      <c r="B14" s="90"/>
      <c r="C14" s="49"/>
      <c r="D14" s="177"/>
      <c r="E14" s="93"/>
      <c r="F14" s="93"/>
      <c r="G14" s="92"/>
      <c r="H14" s="94"/>
    </row>
    <row r="15" spans="1:8" x14ac:dyDescent="0.3">
      <c r="A15" s="89"/>
      <c r="B15" s="90"/>
      <c r="C15" s="49"/>
      <c r="D15" s="177"/>
      <c r="E15" s="93"/>
      <c r="F15" s="93"/>
      <c r="G15" s="92"/>
      <c r="H15" s="94"/>
    </row>
    <row r="16" spans="1:8" x14ac:dyDescent="0.3">
      <c r="A16" s="133"/>
      <c r="B16" s="90"/>
      <c r="C16" s="49"/>
      <c r="D16" s="177"/>
      <c r="E16" s="268"/>
      <c r="F16" s="93"/>
      <c r="G16" s="92"/>
      <c r="H16" s="94"/>
    </row>
    <row r="17" spans="1:15" x14ac:dyDescent="0.3">
      <c r="A17" s="89"/>
      <c r="B17" s="90"/>
      <c r="C17" s="74"/>
      <c r="D17" s="177"/>
      <c r="E17" s="93"/>
      <c r="F17" s="93"/>
      <c r="G17" s="92"/>
      <c r="H17" s="310"/>
    </row>
    <row r="18" spans="1:15" x14ac:dyDescent="0.3">
      <c r="A18" s="133"/>
      <c r="B18" s="90"/>
      <c r="C18" s="49"/>
      <c r="D18" s="93"/>
      <c r="E18" s="268"/>
      <c r="F18" s="93"/>
      <c r="G18" s="92"/>
      <c r="H18" s="94"/>
    </row>
    <row r="19" spans="1:15" x14ac:dyDescent="0.3">
      <c r="A19" s="133"/>
      <c r="B19" s="90"/>
      <c r="C19" s="49"/>
      <c r="D19" s="93"/>
      <c r="E19" s="268"/>
      <c r="F19" s="136"/>
      <c r="G19" s="92"/>
      <c r="H19" s="94"/>
    </row>
    <row r="20" spans="1:15" x14ac:dyDescent="0.3">
      <c r="A20" s="89"/>
      <c r="B20" s="90"/>
      <c r="C20" s="49"/>
      <c r="D20" s="93"/>
      <c r="E20" s="268"/>
      <c r="F20" s="136"/>
      <c r="G20" s="92"/>
      <c r="H20" s="94"/>
    </row>
    <row r="21" spans="1:15" x14ac:dyDescent="0.3">
      <c r="A21" s="89"/>
      <c r="B21" s="90"/>
      <c r="C21" s="49"/>
      <c r="D21" s="93"/>
      <c r="E21" s="268"/>
      <c r="F21" s="93"/>
      <c r="G21" s="92"/>
      <c r="H21" s="94"/>
    </row>
    <row r="22" spans="1:15" x14ac:dyDescent="0.3">
      <c r="A22" s="89"/>
      <c r="B22" s="90"/>
      <c r="C22" s="74"/>
      <c r="D22" s="98"/>
      <c r="E22" s="93"/>
      <c r="F22" s="93"/>
      <c r="G22" s="92"/>
      <c r="H22" s="94"/>
    </row>
    <row r="23" spans="1:15" x14ac:dyDescent="0.3">
      <c r="A23" s="133"/>
      <c r="B23" s="90"/>
      <c r="C23" s="49"/>
      <c r="D23" s="98"/>
      <c r="E23" s="93"/>
      <c r="F23" s="93"/>
      <c r="G23" s="92"/>
      <c r="H23" s="94"/>
    </row>
    <row r="24" spans="1:15" x14ac:dyDescent="0.3">
      <c r="A24" s="89"/>
      <c r="B24" s="90"/>
      <c r="C24" s="49"/>
      <c r="D24" s="98"/>
      <c r="E24" s="93"/>
      <c r="F24" s="93"/>
      <c r="G24" s="92"/>
      <c r="H24" s="94"/>
    </row>
    <row r="25" spans="1:15" x14ac:dyDescent="0.3">
      <c r="A25" s="133"/>
      <c r="B25" s="159"/>
      <c r="C25" s="154"/>
      <c r="D25" s="98"/>
      <c r="E25" s="93"/>
      <c r="F25" s="93"/>
      <c r="G25" s="92"/>
      <c r="H25" s="94"/>
      <c r="M25" s="132"/>
    </row>
    <row r="26" spans="1:15" ht="19.5" thickBot="1" x14ac:dyDescent="0.35">
      <c r="A26" s="143"/>
      <c r="B26" s="160"/>
      <c r="C26" s="131" t="s">
        <v>6</v>
      </c>
      <c r="D26" s="161">
        <f>SUM(D7:D25)</f>
        <v>206000</v>
      </c>
      <c r="E26" s="161">
        <f>SUM(E7:E25)</f>
        <v>185416</v>
      </c>
      <c r="F26" s="162">
        <f>SUM(F7:F25)</f>
        <v>0</v>
      </c>
      <c r="G26" s="144">
        <f>D26-E26-F26</f>
        <v>20584</v>
      </c>
      <c r="H26" s="163"/>
      <c r="L26" s="132"/>
      <c r="M26" s="132"/>
    </row>
    <row r="27" spans="1:15" ht="19.5" thickTop="1" x14ac:dyDescent="0.3">
      <c r="K27" s="139"/>
      <c r="L27" s="139"/>
      <c r="M27" s="139"/>
      <c r="N27" s="138"/>
      <c r="O27" s="165"/>
    </row>
    <row r="28" spans="1:15" x14ac:dyDescent="0.3">
      <c r="G28" s="132"/>
      <c r="I28" s="1">
        <v>20982</v>
      </c>
      <c r="K28" s="139"/>
      <c r="L28" s="138"/>
      <c r="M28" s="139"/>
      <c r="N28" s="138"/>
    </row>
    <row r="29" spans="1:15" x14ac:dyDescent="0.3">
      <c r="G29" s="132"/>
      <c r="I29" s="1" t="e">
        <f>I28-#REF!</f>
        <v>#REF!</v>
      </c>
      <c r="K29" s="139"/>
      <c r="L29" s="139"/>
      <c r="M29" s="146"/>
      <c r="N29" s="138"/>
    </row>
    <row r="30" spans="1:15" x14ac:dyDescent="0.3">
      <c r="G30" s="132"/>
      <c r="K30" s="213"/>
      <c r="L30" s="138"/>
      <c r="M30" s="138"/>
      <c r="N30" s="138"/>
    </row>
    <row r="31" spans="1:15" x14ac:dyDescent="0.3">
      <c r="G31" s="164"/>
      <c r="K31" s="166"/>
      <c r="L31" s="167"/>
      <c r="M31" s="132"/>
    </row>
    <row r="32" spans="1:15" x14ac:dyDescent="0.3">
      <c r="G32" s="164">
        <f>G30-G31</f>
        <v>0</v>
      </c>
      <c r="M32" s="164"/>
    </row>
    <row r="33" spans="4:13" x14ac:dyDescent="0.3">
      <c r="E33" s="132"/>
      <c r="L33" s="132"/>
    </row>
    <row r="34" spans="4:13" x14ac:dyDescent="0.3">
      <c r="L34" s="132"/>
    </row>
    <row r="35" spans="4:13" x14ac:dyDescent="0.3">
      <c r="L35" s="132"/>
      <c r="M35" s="164"/>
    </row>
    <row r="36" spans="4:13" x14ac:dyDescent="0.3">
      <c r="M36" s="132"/>
    </row>
    <row r="37" spans="4:13" x14ac:dyDescent="0.3">
      <c r="M37" s="132"/>
    </row>
    <row r="38" spans="4:13" x14ac:dyDescent="0.3">
      <c r="M38" s="164"/>
    </row>
    <row r="39" spans="4:13" x14ac:dyDescent="0.3">
      <c r="D39" s="132"/>
      <c r="E39" s="155"/>
      <c r="F39" s="155"/>
      <c r="L39" s="132"/>
      <c r="M39" s="155"/>
    </row>
    <row r="40" spans="4:13" x14ac:dyDescent="0.3">
      <c r="D40" s="132"/>
      <c r="E40" s="155"/>
      <c r="F40" s="155"/>
      <c r="K40" s="132">
        <f>L35-K39</f>
        <v>0</v>
      </c>
      <c r="L40" s="132"/>
      <c r="M40" s="155"/>
    </row>
    <row r="41" spans="4:13" x14ac:dyDescent="0.3">
      <c r="D41" s="132"/>
      <c r="E41" s="155"/>
      <c r="F41" s="155"/>
      <c r="L41" s="132"/>
      <c r="M41" s="155"/>
    </row>
    <row r="42" spans="4:13" x14ac:dyDescent="0.3">
      <c r="D42" s="132"/>
      <c r="E42" s="155"/>
      <c r="F42" s="155"/>
      <c r="L42" s="132"/>
      <c r="M42" s="155"/>
    </row>
    <row r="44" spans="4:13" ht="19.5" thickBot="1" x14ac:dyDescent="0.35">
      <c r="D44" s="146"/>
      <c r="L44" s="168"/>
    </row>
    <row r="45" spans="4:13" ht="19.5" thickTop="1" x14ac:dyDescent="0.3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"/>
  <sheetViews>
    <sheetView workbookViewId="0">
      <selection activeCell="I1" sqref="I1:I1048576"/>
    </sheetView>
  </sheetViews>
  <sheetFormatPr defaultRowHeight="17.25" x14ac:dyDescent="0.3"/>
  <cols>
    <col min="1" max="1" width="8.140625" style="23" customWidth="1"/>
    <col min="2" max="2" width="7.85546875" style="78" bestFit="1" customWidth="1"/>
    <col min="3" max="3" width="33" style="78" customWidth="1"/>
    <col min="4" max="4" width="10.7109375" style="78" customWidth="1"/>
    <col min="5" max="5" width="11.140625" style="78" customWidth="1"/>
    <col min="6" max="6" width="8.7109375" style="78" customWidth="1"/>
    <col min="7" max="7" width="11.85546875" style="78" customWidth="1"/>
    <col min="8" max="8" width="9.7109375" style="78" customWidth="1"/>
    <col min="9" max="9" width="9.140625" style="78"/>
    <col min="10" max="10" width="14" style="132" customWidth="1"/>
    <col min="11" max="11" width="11.85546875" style="78" customWidth="1"/>
    <col min="12" max="12" width="11.28515625" style="78" customWidth="1"/>
    <col min="13" max="13" width="11" style="78" customWidth="1"/>
    <col min="14" max="16384" width="9.140625" style="78"/>
  </cols>
  <sheetData>
    <row r="2" spans="1:11" x14ac:dyDescent="0.3">
      <c r="A2" s="453" t="s">
        <v>209</v>
      </c>
      <c r="B2" s="453"/>
      <c r="C2" s="453"/>
      <c r="D2" s="453"/>
      <c r="E2" s="453"/>
      <c r="F2" s="453"/>
      <c r="G2" s="453"/>
      <c r="H2" s="453"/>
    </row>
    <row r="3" spans="1:11" x14ac:dyDescent="0.3">
      <c r="A3" s="453" t="s">
        <v>2471</v>
      </c>
      <c r="B3" s="453"/>
      <c r="C3" s="453"/>
      <c r="D3" s="453"/>
      <c r="E3" s="453"/>
      <c r="F3" s="453"/>
      <c r="G3" s="453"/>
      <c r="H3" s="453"/>
    </row>
    <row r="4" spans="1:11" x14ac:dyDescent="0.3">
      <c r="A4" s="101" t="s">
        <v>127</v>
      </c>
      <c r="B4" s="77"/>
      <c r="C4" s="77"/>
      <c r="D4" s="77"/>
      <c r="E4" s="152"/>
      <c r="F4" s="77"/>
      <c r="G4" s="169" t="s">
        <v>5</v>
      </c>
      <c r="H4" s="169" t="s">
        <v>647</v>
      </c>
    </row>
    <row r="5" spans="1:11" x14ac:dyDescent="0.3">
      <c r="A5" s="178" t="s">
        <v>16</v>
      </c>
      <c r="B5" s="156" t="s">
        <v>12</v>
      </c>
      <c r="C5" s="81" t="s">
        <v>4</v>
      </c>
      <c r="D5" s="82" t="s">
        <v>15</v>
      </c>
      <c r="E5" s="82" t="s">
        <v>1</v>
      </c>
      <c r="F5" s="82" t="s">
        <v>34</v>
      </c>
      <c r="G5" s="83" t="s">
        <v>2</v>
      </c>
      <c r="H5" s="81" t="s">
        <v>3</v>
      </c>
    </row>
    <row r="6" spans="1:11" x14ac:dyDescent="0.3">
      <c r="A6" s="105"/>
      <c r="B6" s="84"/>
      <c r="C6" s="85"/>
      <c r="D6" s="86" t="s">
        <v>0</v>
      </c>
      <c r="E6" s="86"/>
      <c r="F6" s="86" t="s">
        <v>35</v>
      </c>
      <c r="G6" s="87"/>
      <c r="H6" s="158"/>
    </row>
    <row r="7" spans="1:11" ht="18.75" x14ac:dyDescent="0.3">
      <c r="A7" s="179" t="s">
        <v>650</v>
      </c>
      <c r="B7" s="90" t="s">
        <v>651</v>
      </c>
      <c r="C7" s="49" t="s">
        <v>652</v>
      </c>
      <c r="D7" s="93">
        <v>6000</v>
      </c>
      <c r="E7" s="93"/>
      <c r="F7" s="93"/>
      <c r="G7" s="42">
        <v>6000</v>
      </c>
      <c r="H7" s="75" t="s">
        <v>649</v>
      </c>
    </row>
    <row r="8" spans="1:11" ht="18.75" x14ac:dyDescent="0.3">
      <c r="A8" s="179" t="s">
        <v>1408</v>
      </c>
      <c r="B8" s="97" t="s">
        <v>1413</v>
      </c>
      <c r="C8" s="188" t="s">
        <v>1412</v>
      </c>
      <c r="D8" s="93"/>
      <c r="E8" s="93">
        <v>2592</v>
      </c>
      <c r="F8" s="93"/>
      <c r="G8" s="256">
        <f>G7-E8</f>
        <v>3408</v>
      </c>
      <c r="H8" s="94"/>
    </row>
    <row r="9" spans="1:11" ht="18.75" x14ac:dyDescent="0.3">
      <c r="A9" s="179"/>
      <c r="B9" s="97"/>
      <c r="C9" s="188"/>
      <c r="D9" s="93">
        <v>-3408</v>
      </c>
      <c r="E9" s="93"/>
      <c r="F9" s="93"/>
      <c r="G9" s="256">
        <f>G8+D9</f>
        <v>0</v>
      </c>
      <c r="H9" s="94"/>
    </row>
    <row r="10" spans="1:11" ht="18.75" x14ac:dyDescent="0.3">
      <c r="A10" s="179"/>
      <c r="B10" s="90"/>
      <c r="C10" s="49"/>
      <c r="D10" s="93"/>
      <c r="E10" s="93"/>
      <c r="F10" s="93"/>
      <c r="G10" s="256"/>
      <c r="H10" s="94"/>
    </row>
    <row r="11" spans="1:11" ht="18.75" x14ac:dyDescent="0.3">
      <c r="A11" s="179" t="s">
        <v>964</v>
      </c>
      <c r="B11" s="90" t="s">
        <v>965</v>
      </c>
      <c r="C11" s="49" t="s">
        <v>963</v>
      </c>
      <c r="D11" s="93">
        <v>13200</v>
      </c>
      <c r="E11" s="93"/>
      <c r="F11" s="93"/>
      <c r="G11" s="42">
        <v>13200</v>
      </c>
      <c r="H11" s="75" t="s">
        <v>649</v>
      </c>
      <c r="J11" s="139"/>
      <c r="K11" s="138"/>
    </row>
    <row r="12" spans="1:11" ht="18.75" x14ac:dyDescent="0.3">
      <c r="A12" s="179" t="s">
        <v>2403</v>
      </c>
      <c r="B12" s="97" t="s">
        <v>2446</v>
      </c>
      <c r="C12" s="188" t="s">
        <v>1354</v>
      </c>
      <c r="D12" s="98"/>
      <c r="E12" s="98">
        <v>3650</v>
      </c>
      <c r="F12" s="134"/>
      <c r="G12" s="262">
        <f>G11-E12-F12</f>
        <v>9550</v>
      </c>
      <c r="H12" s="189"/>
      <c r="J12" s="139"/>
      <c r="K12" s="138"/>
    </row>
    <row r="13" spans="1:11" ht="18.75" x14ac:dyDescent="0.3">
      <c r="A13" s="179"/>
      <c r="B13" s="97"/>
      <c r="C13" s="188"/>
      <c r="D13" s="98">
        <v>-9550</v>
      </c>
      <c r="E13" s="98"/>
      <c r="F13" s="134"/>
      <c r="G13" s="262">
        <f>G12+D13</f>
        <v>0</v>
      </c>
      <c r="H13" s="189"/>
      <c r="J13" s="139"/>
      <c r="K13" s="138"/>
    </row>
    <row r="14" spans="1:11" ht="18.75" x14ac:dyDescent="0.3">
      <c r="A14" s="179"/>
      <c r="B14" s="97"/>
      <c r="C14" s="188"/>
      <c r="D14" s="98"/>
      <c r="E14" s="98"/>
      <c r="F14" s="134"/>
      <c r="G14" s="262"/>
      <c r="H14" s="189"/>
      <c r="J14" s="139"/>
      <c r="K14" s="138"/>
    </row>
    <row r="15" spans="1:11" ht="18.75" x14ac:dyDescent="0.3">
      <c r="A15" s="179" t="s">
        <v>1006</v>
      </c>
      <c r="B15" s="97" t="s">
        <v>1007</v>
      </c>
      <c r="C15" s="76" t="s">
        <v>1005</v>
      </c>
      <c r="D15" s="98">
        <f>275800-136000</f>
        <v>139800</v>
      </c>
      <c r="E15" s="98"/>
      <c r="F15" s="134"/>
      <c r="G15" s="262">
        <f>D15</f>
        <v>139800</v>
      </c>
      <c r="H15" s="75" t="s">
        <v>649</v>
      </c>
      <c r="J15" s="139"/>
      <c r="K15" s="138"/>
    </row>
    <row r="16" spans="1:11" ht="18.75" x14ac:dyDescent="0.3">
      <c r="A16" s="179"/>
      <c r="B16" s="97" t="s">
        <v>1888</v>
      </c>
      <c r="C16" s="76" t="s">
        <v>2100</v>
      </c>
      <c r="D16" s="98"/>
      <c r="E16" s="98">
        <v>42755</v>
      </c>
      <c r="F16" s="134"/>
      <c r="G16" s="262">
        <f>G15-E16</f>
        <v>97045</v>
      </c>
      <c r="H16" s="75"/>
      <c r="J16" s="139"/>
      <c r="K16" s="138"/>
    </row>
    <row r="17" spans="1:14" ht="18.75" x14ac:dyDescent="0.3">
      <c r="A17" s="179" t="s">
        <v>1848</v>
      </c>
      <c r="B17" s="97" t="s">
        <v>1898</v>
      </c>
      <c r="C17" s="76" t="s">
        <v>577</v>
      </c>
      <c r="D17" s="98"/>
      <c r="E17" s="98">
        <v>7800</v>
      </c>
      <c r="F17" s="134"/>
      <c r="G17" s="262">
        <f>G16-E17</f>
        <v>89245</v>
      </c>
      <c r="H17" s="189"/>
      <c r="J17" s="139"/>
      <c r="K17" s="138"/>
    </row>
    <row r="18" spans="1:14" ht="18.75" x14ac:dyDescent="0.3">
      <c r="A18" s="179" t="s">
        <v>2394</v>
      </c>
      <c r="B18" s="97" t="s">
        <v>2409</v>
      </c>
      <c r="C18" s="219" t="s">
        <v>2101</v>
      </c>
      <c r="D18" s="98"/>
      <c r="E18" s="98">
        <v>70175</v>
      </c>
      <c r="F18" s="134"/>
      <c r="G18" s="262">
        <f>G17-E18-F18</f>
        <v>19070</v>
      </c>
      <c r="H18" s="189"/>
      <c r="J18" s="139"/>
      <c r="K18" s="138"/>
    </row>
    <row r="19" spans="1:14" ht="18.75" x14ac:dyDescent="0.3">
      <c r="A19" s="179" t="s">
        <v>2540</v>
      </c>
      <c r="B19" s="97" t="s">
        <v>2559</v>
      </c>
      <c r="C19" s="188" t="s">
        <v>2350</v>
      </c>
      <c r="D19" s="98"/>
      <c r="E19" s="98">
        <v>7000</v>
      </c>
      <c r="F19" s="91"/>
      <c r="G19" s="262">
        <f t="shared" ref="G19:G20" si="0">G18-E19-F19</f>
        <v>12070</v>
      </c>
      <c r="H19" s="189"/>
      <c r="J19" s="139"/>
      <c r="K19" s="138"/>
    </row>
    <row r="20" spans="1:14" ht="18.75" x14ac:dyDescent="0.3">
      <c r="A20" s="179" t="s">
        <v>2445</v>
      </c>
      <c r="B20" s="97" t="s">
        <v>2446</v>
      </c>
      <c r="C20" s="188" t="s">
        <v>2406</v>
      </c>
      <c r="D20" s="98"/>
      <c r="E20" s="98">
        <v>3544</v>
      </c>
      <c r="F20" s="91"/>
      <c r="G20" s="262">
        <f t="shared" si="0"/>
        <v>8526</v>
      </c>
      <c r="H20" s="189"/>
      <c r="J20" s="139"/>
      <c r="K20" s="138"/>
    </row>
    <row r="21" spans="1:14" ht="18.75" x14ac:dyDescent="0.3">
      <c r="A21" s="179"/>
      <c r="B21" s="97"/>
      <c r="C21" s="188"/>
      <c r="D21" s="98">
        <v>-8526</v>
      </c>
      <c r="E21" s="177"/>
      <c r="F21" s="134"/>
      <c r="G21" s="262">
        <f>G20+D21</f>
        <v>0</v>
      </c>
      <c r="H21" s="189"/>
      <c r="J21" s="139"/>
      <c r="K21" s="138"/>
    </row>
    <row r="22" spans="1:14" ht="18.75" x14ac:dyDescent="0.3">
      <c r="A22" s="179"/>
      <c r="B22" s="97"/>
      <c r="C22" s="188"/>
      <c r="D22" s="98"/>
      <c r="E22" s="177"/>
      <c r="F22" s="134"/>
      <c r="G22" s="262"/>
      <c r="H22" s="189"/>
      <c r="J22" s="139"/>
      <c r="K22" s="138"/>
    </row>
    <row r="23" spans="1:14" ht="18.75" x14ac:dyDescent="0.3">
      <c r="A23" s="179" t="s">
        <v>1006</v>
      </c>
      <c r="B23" s="97" t="s">
        <v>1007</v>
      </c>
      <c r="C23" s="219" t="s">
        <v>2483</v>
      </c>
      <c r="D23" s="98">
        <v>2000</v>
      </c>
      <c r="E23" s="177"/>
      <c r="F23" s="134"/>
      <c r="G23" s="262">
        <v>2000</v>
      </c>
      <c r="H23" s="189" t="s">
        <v>2484</v>
      </c>
      <c r="J23" s="139"/>
      <c r="K23" s="138"/>
    </row>
    <row r="24" spans="1:14" ht="18.75" x14ac:dyDescent="0.3">
      <c r="A24" s="179"/>
      <c r="B24" s="97"/>
      <c r="C24" s="219"/>
      <c r="D24" s="98">
        <v>-2000</v>
      </c>
      <c r="E24" s="177"/>
      <c r="F24" s="134"/>
      <c r="G24" s="262">
        <f>G23+D24</f>
        <v>0</v>
      </c>
      <c r="H24" s="189"/>
      <c r="J24" s="139"/>
      <c r="K24" s="138"/>
    </row>
    <row r="25" spans="1:14" ht="19.5" thickBot="1" x14ac:dyDescent="0.35">
      <c r="A25" s="179"/>
      <c r="B25" s="97"/>
      <c r="C25" s="187"/>
      <c r="D25" s="134"/>
      <c r="E25" s="91"/>
      <c r="F25" s="91"/>
      <c r="G25" s="262"/>
      <c r="H25" s="414"/>
      <c r="J25" s="139"/>
      <c r="K25" s="138"/>
    </row>
    <row r="26" spans="1:14" ht="19.5" thickBot="1" x14ac:dyDescent="0.35">
      <c r="A26" s="108"/>
      <c r="B26" s="143"/>
      <c r="C26" s="131" t="s">
        <v>107</v>
      </c>
      <c r="D26" s="170">
        <f>SUM(D7:D25)</f>
        <v>137516</v>
      </c>
      <c r="E26" s="170">
        <f>SUM(E7:E25)</f>
        <v>137516</v>
      </c>
      <c r="F26" s="170">
        <f>SUM(F7:F25)</f>
        <v>0</v>
      </c>
      <c r="G26" s="415">
        <f>D26-E26-F26</f>
        <v>0</v>
      </c>
      <c r="H26" s="416">
        <v>23484</v>
      </c>
      <c r="J26" s="139"/>
      <c r="K26" s="138"/>
    </row>
    <row r="27" spans="1:14" ht="18" thickTop="1" x14ac:dyDescent="0.3">
      <c r="D27" s="137"/>
      <c r="F27" s="176"/>
      <c r="G27" s="199"/>
      <c r="I27" s="155"/>
      <c r="J27" s="139"/>
      <c r="K27" s="138"/>
    </row>
    <row r="28" spans="1:14" x14ac:dyDescent="0.3">
      <c r="D28" s="137"/>
      <c r="E28" s="132"/>
      <c r="F28" s="164"/>
      <c r="G28" s="132"/>
      <c r="I28" s="155"/>
    </row>
    <row r="29" spans="1:14" x14ac:dyDescent="0.3">
      <c r="D29" s="137"/>
      <c r="E29" s="132"/>
      <c r="G29" s="132"/>
      <c r="I29" s="132"/>
      <c r="L29" s="132"/>
    </row>
    <row r="30" spans="1:14" x14ac:dyDescent="0.3">
      <c r="C30" s="164"/>
      <c r="E30" s="132"/>
      <c r="G30" s="164"/>
      <c r="L30" s="132"/>
    </row>
    <row r="31" spans="1:14" x14ac:dyDescent="0.3">
      <c r="C31" s="164"/>
      <c r="E31" s="164"/>
      <c r="G31" s="164"/>
      <c r="L31" s="164"/>
      <c r="N31" s="164"/>
    </row>
    <row r="32" spans="1:14" x14ac:dyDescent="0.3">
      <c r="E32" s="139"/>
      <c r="F32" s="132"/>
      <c r="G32" s="164"/>
      <c r="L32" s="132"/>
      <c r="M32" s="132"/>
      <c r="N32" s="164"/>
    </row>
    <row r="33" spans="2:14" x14ac:dyDescent="0.3">
      <c r="B33" s="138"/>
      <c r="C33" s="146"/>
      <c r="D33" s="171"/>
      <c r="E33" s="172"/>
      <c r="G33" s="173"/>
      <c r="N33" s="173"/>
    </row>
    <row r="34" spans="2:14" x14ac:dyDescent="0.3">
      <c r="B34" s="138"/>
      <c r="C34" s="138"/>
      <c r="D34" s="140"/>
      <c r="E34" s="139"/>
    </row>
    <row r="35" spans="2:14" x14ac:dyDescent="0.3">
      <c r="B35" s="138"/>
      <c r="C35" s="138"/>
      <c r="D35" s="140"/>
      <c r="E35" s="139"/>
      <c r="G35" s="132"/>
      <c r="N35" s="132"/>
    </row>
    <row r="36" spans="2:14" x14ac:dyDescent="0.3">
      <c r="B36" s="138"/>
      <c r="C36" s="138"/>
      <c r="D36" s="140"/>
      <c r="E36" s="139"/>
      <c r="G36" s="132"/>
    </row>
    <row r="37" spans="2:14" x14ac:dyDescent="0.3">
      <c r="B37" s="138"/>
      <c r="C37" s="138"/>
      <c r="D37" s="174"/>
      <c r="E37" s="146"/>
    </row>
    <row r="38" spans="2:14" x14ac:dyDescent="0.3">
      <c r="B38" s="138"/>
      <c r="C38" s="138"/>
      <c r="D38" s="138"/>
      <c r="E38" s="139"/>
    </row>
    <row r="39" spans="2:14" x14ac:dyDescent="0.3">
      <c r="B39" s="138"/>
      <c r="C39" s="138"/>
      <c r="D39" s="138"/>
      <c r="E39" s="146"/>
    </row>
  </sheetData>
  <mergeCells count="2">
    <mergeCell ref="A2:H2"/>
    <mergeCell ref="A3:H3"/>
  </mergeCells>
  <pageMargins left="0.27" right="0.15" top="0.15748031496062992" bottom="0.15748031496062992" header="0.15748031496062992" footer="0.15748031496062992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6"/>
  <sheetViews>
    <sheetView workbookViewId="0">
      <selection activeCell="E7" sqref="E7"/>
    </sheetView>
  </sheetViews>
  <sheetFormatPr defaultRowHeight="17.25" x14ac:dyDescent="0.3"/>
  <cols>
    <col min="1" max="1" width="8.140625" style="23" customWidth="1"/>
    <col min="2" max="2" width="7.85546875" style="78" bestFit="1" customWidth="1"/>
    <col min="3" max="3" width="29" style="78" customWidth="1"/>
    <col min="4" max="4" width="10.7109375" style="78" customWidth="1"/>
    <col min="5" max="5" width="11.140625" style="78" customWidth="1"/>
    <col min="6" max="6" width="10.42578125" style="78" customWidth="1"/>
    <col min="7" max="7" width="11.85546875" style="78" customWidth="1"/>
    <col min="8" max="8" width="9.7109375" style="78" customWidth="1"/>
    <col min="9" max="9" width="9.85546875" style="137" bestFit="1" customWidth="1"/>
    <col min="10" max="10" width="9.140625" style="78"/>
    <col min="11" max="11" width="14" style="132" customWidth="1"/>
    <col min="12" max="12" width="11.85546875" style="78" customWidth="1"/>
    <col min="13" max="13" width="11.28515625" style="78" customWidth="1"/>
    <col min="14" max="14" width="11" style="78" customWidth="1"/>
    <col min="15" max="16384" width="9.140625" style="78"/>
  </cols>
  <sheetData>
    <row r="2" spans="1:12" x14ac:dyDescent="0.3">
      <c r="A2" s="453" t="s">
        <v>209</v>
      </c>
      <c r="B2" s="453"/>
      <c r="C2" s="453"/>
      <c r="D2" s="453"/>
      <c r="E2" s="453"/>
      <c r="F2" s="453"/>
      <c r="G2" s="453"/>
      <c r="H2" s="453"/>
    </row>
    <row r="3" spans="1:12" x14ac:dyDescent="0.3">
      <c r="A3" s="453" t="s">
        <v>2663</v>
      </c>
      <c r="B3" s="453"/>
      <c r="C3" s="453"/>
      <c r="D3" s="453"/>
      <c r="E3" s="453"/>
      <c r="F3" s="453"/>
      <c r="G3" s="453"/>
      <c r="H3" s="453"/>
    </row>
    <row r="4" spans="1:12" x14ac:dyDescent="0.3">
      <c r="A4" s="101" t="s">
        <v>127</v>
      </c>
      <c r="B4" s="77"/>
      <c r="C4" s="77"/>
      <c r="D4" s="77"/>
      <c r="E4" s="152"/>
      <c r="F4" s="77"/>
      <c r="G4" s="169" t="s">
        <v>5</v>
      </c>
      <c r="H4" s="169" t="s">
        <v>2155</v>
      </c>
    </row>
    <row r="5" spans="1:12" x14ac:dyDescent="0.3">
      <c r="A5" s="178" t="s">
        <v>16</v>
      </c>
      <c r="B5" s="156" t="s">
        <v>12</v>
      </c>
      <c r="C5" s="81" t="s">
        <v>4</v>
      </c>
      <c r="D5" s="82" t="s">
        <v>15</v>
      </c>
      <c r="E5" s="82" t="s">
        <v>1</v>
      </c>
      <c r="F5" s="82" t="s">
        <v>34</v>
      </c>
      <c r="G5" s="83" t="s">
        <v>2</v>
      </c>
      <c r="H5" s="81" t="s">
        <v>3</v>
      </c>
    </row>
    <row r="6" spans="1:12" x14ac:dyDescent="0.3">
      <c r="A6" s="105"/>
      <c r="B6" s="84"/>
      <c r="C6" s="85"/>
      <c r="D6" s="86" t="s">
        <v>0</v>
      </c>
      <c r="E6" s="86"/>
      <c r="F6" s="86" t="s">
        <v>35</v>
      </c>
      <c r="G6" s="87"/>
      <c r="H6" s="158" t="s">
        <v>2156</v>
      </c>
    </row>
    <row r="7" spans="1:12" ht="18.75" x14ac:dyDescent="0.3">
      <c r="A7" s="179" t="s">
        <v>2136</v>
      </c>
      <c r="B7" s="97" t="s">
        <v>1007</v>
      </c>
      <c r="C7" s="219" t="s">
        <v>1005</v>
      </c>
      <c r="D7" s="98"/>
      <c r="E7" s="93"/>
      <c r="F7" s="93"/>
      <c r="G7" s="211"/>
      <c r="H7" s="75" t="s">
        <v>649</v>
      </c>
    </row>
    <row r="8" spans="1:12" ht="18.75" x14ac:dyDescent="0.3">
      <c r="A8" s="179"/>
      <c r="B8" s="97" t="s">
        <v>2610</v>
      </c>
      <c r="C8" s="219" t="s">
        <v>2148</v>
      </c>
      <c r="D8" s="93">
        <v>3000</v>
      </c>
      <c r="E8" s="136">
        <v>3000</v>
      </c>
      <c r="F8" s="93"/>
      <c r="G8" s="92">
        <f>D8-E8-F8</f>
        <v>0</v>
      </c>
      <c r="H8" s="94"/>
    </row>
    <row r="9" spans="1:12" ht="18.75" x14ac:dyDescent="0.3">
      <c r="A9" s="179" t="s">
        <v>2689</v>
      </c>
      <c r="B9" s="90" t="s">
        <v>2714</v>
      </c>
      <c r="C9" s="218" t="s">
        <v>1282</v>
      </c>
      <c r="D9" s="93">
        <v>3000</v>
      </c>
      <c r="E9" s="136">
        <v>3000</v>
      </c>
      <c r="F9" s="136"/>
      <c r="G9" s="92">
        <f t="shared" ref="G9:G19" si="0">D9-E9-F9</f>
        <v>0</v>
      </c>
      <c r="H9" s="94"/>
    </row>
    <row r="10" spans="1:12" ht="18.75" x14ac:dyDescent="0.3">
      <c r="A10" s="179" t="s">
        <v>2394</v>
      </c>
      <c r="B10" s="90" t="s">
        <v>2413</v>
      </c>
      <c r="C10" s="218" t="s">
        <v>2149</v>
      </c>
      <c r="D10" s="93">
        <v>3000</v>
      </c>
      <c r="E10" s="136">
        <v>3000</v>
      </c>
      <c r="F10" s="136"/>
      <c r="G10" s="92">
        <f t="shared" si="0"/>
        <v>0</v>
      </c>
      <c r="H10" s="75"/>
      <c r="K10" s="139"/>
      <c r="L10" s="138"/>
    </row>
    <row r="11" spans="1:12" ht="18.75" x14ac:dyDescent="0.3">
      <c r="A11" s="179"/>
      <c r="B11" s="90" t="s">
        <v>2608</v>
      </c>
      <c r="C11" s="219" t="s">
        <v>2150</v>
      </c>
      <c r="D11" s="93">
        <v>3000</v>
      </c>
      <c r="E11" s="136">
        <v>3000</v>
      </c>
      <c r="F11" s="134"/>
      <c r="G11" s="92">
        <f t="shared" si="0"/>
        <v>0</v>
      </c>
      <c r="H11" s="189"/>
      <c r="K11" s="139"/>
      <c r="L11" s="138"/>
    </row>
    <row r="12" spans="1:12" ht="18.75" x14ac:dyDescent="0.3">
      <c r="A12" s="179" t="s">
        <v>2394</v>
      </c>
      <c r="B12" s="90" t="s">
        <v>2413</v>
      </c>
      <c r="C12" s="219" t="s">
        <v>537</v>
      </c>
      <c r="D12" s="93">
        <v>3000</v>
      </c>
      <c r="E12" s="134">
        <v>3000</v>
      </c>
      <c r="F12" s="134"/>
      <c r="G12" s="92">
        <f t="shared" si="0"/>
        <v>0</v>
      </c>
      <c r="H12" s="189"/>
      <c r="K12" s="139"/>
      <c r="L12" s="138"/>
    </row>
    <row r="13" spans="1:12" ht="18.75" x14ac:dyDescent="0.3">
      <c r="A13" s="179" t="s">
        <v>2394</v>
      </c>
      <c r="B13" s="90" t="s">
        <v>2413</v>
      </c>
      <c r="C13" s="219" t="s">
        <v>520</v>
      </c>
      <c r="D13" s="93">
        <v>3000</v>
      </c>
      <c r="E13" s="134">
        <v>3000</v>
      </c>
      <c r="F13" s="134"/>
      <c r="G13" s="92">
        <f t="shared" si="0"/>
        <v>0</v>
      </c>
      <c r="H13" s="75"/>
      <c r="K13" s="139"/>
      <c r="L13" s="138"/>
    </row>
    <row r="14" spans="1:12" ht="18.75" x14ac:dyDescent="0.3">
      <c r="A14" s="179" t="s">
        <v>2394</v>
      </c>
      <c r="B14" s="90" t="s">
        <v>2413</v>
      </c>
      <c r="C14" s="219" t="s">
        <v>38</v>
      </c>
      <c r="D14" s="93">
        <v>3000</v>
      </c>
      <c r="E14" s="134">
        <v>3000</v>
      </c>
      <c r="F14" s="134"/>
      <c r="G14" s="92">
        <f t="shared" si="0"/>
        <v>0</v>
      </c>
      <c r="H14" s="75"/>
      <c r="K14" s="139"/>
      <c r="L14" s="138"/>
    </row>
    <row r="15" spans="1:12" ht="18.75" x14ac:dyDescent="0.3">
      <c r="A15" s="179"/>
      <c r="B15" s="90" t="s">
        <v>2609</v>
      </c>
      <c r="C15" s="219" t="s">
        <v>2151</v>
      </c>
      <c r="D15" s="93">
        <v>3000</v>
      </c>
      <c r="E15" s="136">
        <v>3000</v>
      </c>
      <c r="F15" s="134"/>
      <c r="G15" s="92">
        <f t="shared" si="0"/>
        <v>0</v>
      </c>
      <c r="H15" s="189"/>
      <c r="K15" s="139"/>
      <c r="L15" s="138"/>
    </row>
    <row r="16" spans="1:12" ht="18.75" x14ac:dyDescent="0.3">
      <c r="A16" s="179" t="s">
        <v>2318</v>
      </c>
      <c r="B16" s="97" t="s">
        <v>2322</v>
      </c>
      <c r="C16" s="219" t="s">
        <v>2152</v>
      </c>
      <c r="D16" s="93">
        <v>3000</v>
      </c>
      <c r="E16" s="134">
        <v>3000</v>
      </c>
      <c r="F16" s="134"/>
      <c r="G16" s="92">
        <f t="shared" si="0"/>
        <v>0</v>
      </c>
      <c r="H16" s="189"/>
      <c r="K16" s="139"/>
      <c r="L16" s="138"/>
    </row>
    <row r="17" spans="1:15" ht="18.75" x14ac:dyDescent="0.3">
      <c r="A17" s="179" t="s">
        <v>2420</v>
      </c>
      <c r="B17" s="90" t="s">
        <v>2426</v>
      </c>
      <c r="C17" s="219" t="s">
        <v>152</v>
      </c>
      <c r="D17" s="93">
        <v>3000</v>
      </c>
      <c r="E17" s="136">
        <v>3000</v>
      </c>
      <c r="F17" s="91"/>
      <c r="G17" s="92">
        <f t="shared" si="0"/>
        <v>0</v>
      </c>
      <c r="H17" s="189"/>
      <c r="K17" s="139"/>
      <c r="L17" s="138"/>
    </row>
    <row r="18" spans="1:15" ht="18.75" x14ac:dyDescent="0.3">
      <c r="A18" s="179"/>
      <c r="B18" s="97" t="s">
        <v>2608</v>
      </c>
      <c r="C18" s="219" t="s">
        <v>2153</v>
      </c>
      <c r="D18" s="93">
        <v>3000</v>
      </c>
      <c r="E18" s="136">
        <v>3000</v>
      </c>
      <c r="F18" s="91"/>
      <c r="G18" s="92">
        <f t="shared" si="0"/>
        <v>0</v>
      </c>
      <c r="H18" s="189"/>
      <c r="K18" s="139"/>
      <c r="L18" s="138"/>
    </row>
    <row r="19" spans="1:15" ht="18.75" x14ac:dyDescent="0.3">
      <c r="A19" s="179" t="s">
        <v>2394</v>
      </c>
      <c r="B19" s="90" t="s">
        <v>2413</v>
      </c>
      <c r="C19" s="219" t="s">
        <v>2154</v>
      </c>
      <c r="D19" s="93">
        <v>3000</v>
      </c>
      <c r="E19" s="134">
        <v>3000</v>
      </c>
      <c r="F19" s="134"/>
      <c r="G19" s="92">
        <f t="shared" si="0"/>
        <v>0</v>
      </c>
      <c r="H19" s="189"/>
      <c r="K19" s="139"/>
      <c r="L19" s="138"/>
    </row>
    <row r="20" spans="1:15" x14ac:dyDescent="0.3">
      <c r="A20" s="179"/>
      <c r="B20" s="97"/>
      <c r="C20" s="188"/>
      <c r="D20" s="98"/>
      <c r="E20" s="177"/>
      <c r="F20" s="134"/>
      <c r="G20" s="135"/>
      <c r="H20" s="189"/>
      <c r="K20" s="139"/>
      <c r="L20" s="138"/>
    </row>
    <row r="21" spans="1:15" x14ac:dyDescent="0.3">
      <c r="A21" s="179"/>
      <c r="B21" s="97"/>
      <c r="C21" s="188"/>
      <c r="D21" s="98"/>
      <c r="E21" s="177"/>
      <c r="F21" s="134"/>
      <c r="G21" s="135"/>
      <c r="H21" s="189"/>
      <c r="K21" s="139"/>
      <c r="L21" s="138"/>
    </row>
    <row r="22" spans="1:15" x14ac:dyDescent="0.3">
      <c r="A22" s="179"/>
      <c r="B22" s="97"/>
      <c r="C22" s="187"/>
      <c r="D22" s="134"/>
      <c r="E22" s="91"/>
      <c r="F22" s="91"/>
      <c r="G22" s="135"/>
      <c r="H22" s="150"/>
      <c r="K22" s="139"/>
      <c r="L22" s="138"/>
    </row>
    <row r="23" spans="1:15" ht="18" thickBot="1" x14ac:dyDescent="0.35">
      <c r="A23" s="108"/>
      <c r="B23" s="143"/>
      <c r="C23" s="131" t="s">
        <v>107</v>
      </c>
      <c r="D23" s="170">
        <f>SUM(D7:D22)</f>
        <v>36000</v>
      </c>
      <c r="E23" s="170">
        <f>SUM(E7:E22)</f>
        <v>36000</v>
      </c>
      <c r="F23" s="170">
        <f>SUM(F7:F22)</f>
        <v>0</v>
      </c>
      <c r="G23" s="161">
        <f>D23-E23-F23</f>
        <v>0</v>
      </c>
      <c r="H23" s="94"/>
      <c r="K23" s="139"/>
      <c r="L23" s="138"/>
    </row>
    <row r="24" spans="1:15" ht="18" thickTop="1" x14ac:dyDescent="0.3">
      <c r="D24" s="137"/>
      <c r="F24" s="176"/>
      <c r="G24" s="199"/>
      <c r="J24" s="155"/>
      <c r="K24" s="139"/>
      <c r="L24" s="138"/>
    </row>
    <row r="25" spans="1:15" x14ac:dyDescent="0.3">
      <c r="D25" s="137"/>
      <c r="E25" s="132"/>
      <c r="F25" s="164"/>
      <c r="G25" s="132"/>
      <c r="J25" s="155"/>
    </row>
    <row r="26" spans="1:15" x14ac:dyDescent="0.3">
      <c r="D26" s="137"/>
      <c r="E26" s="132"/>
      <c r="G26" s="132"/>
      <c r="J26" s="132"/>
      <c r="M26" s="132"/>
    </row>
    <row r="27" spans="1:15" x14ac:dyDescent="0.3">
      <c r="C27" s="164"/>
      <c r="E27" s="132"/>
      <c r="G27" s="164"/>
      <c r="M27" s="132"/>
    </row>
    <row r="28" spans="1:15" x14ac:dyDescent="0.3">
      <c r="C28" s="164"/>
      <c r="E28" s="164"/>
      <c r="G28" s="164"/>
      <c r="M28" s="164"/>
      <c r="O28" s="164"/>
    </row>
    <row r="29" spans="1:15" x14ac:dyDescent="0.3">
      <c r="E29" s="139"/>
      <c r="F29" s="132"/>
      <c r="G29" s="164"/>
      <c r="M29" s="132"/>
      <c r="N29" s="132"/>
      <c r="O29" s="164"/>
    </row>
    <row r="30" spans="1:15" x14ac:dyDescent="0.3">
      <c r="B30" s="138"/>
      <c r="C30" s="146"/>
      <c r="D30" s="171"/>
      <c r="E30" s="172"/>
      <c r="G30" s="173"/>
      <c r="O30" s="173"/>
    </row>
    <row r="31" spans="1:15" x14ac:dyDescent="0.3">
      <c r="B31" s="138"/>
      <c r="C31" s="138"/>
      <c r="D31" s="140"/>
      <c r="E31" s="139"/>
    </row>
    <row r="32" spans="1:15" x14ac:dyDescent="0.3">
      <c r="B32" s="138"/>
      <c r="C32" s="138"/>
      <c r="D32" s="140"/>
      <c r="E32" s="139"/>
      <c r="G32" s="132"/>
      <c r="O32" s="132"/>
    </row>
    <row r="33" spans="2:7" x14ac:dyDescent="0.3">
      <c r="B33" s="138"/>
      <c r="C33" s="138"/>
      <c r="D33" s="140"/>
      <c r="E33" s="139"/>
      <c r="G33" s="132"/>
    </row>
    <row r="34" spans="2:7" x14ac:dyDescent="0.3">
      <c r="B34" s="138"/>
      <c r="C34" s="138"/>
      <c r="D34" s="174"/>
      <c r="E34" s="146"/>
    </row>
    <row r="35" spans="2:7" x14ac:dyDescent="0.3">
      <c r="B35" s="138"/>
      <c r="C35" s="138"/>
      <c r="D35" s="138"/>
      <c r="E35" s="139"/>
    </row>
    <row r="36" spans="2:7" x14ac:dyDescent="0.3">
      <c r="B36" s="138"/>
      <c r="C36" s="138"/>
      <c r="D36" s="138"/>
      <c r="E36" s="146"/>
    </row>
  </sheetData>
  <mergeCells count="2">
    <mergeCell ref="A2:H2"/>
    <mergeCell ref="A3:H3"/>
  </mergeCells>
  <pageMargins left="0.27" right="0.15" top="0.15748031496062992" bottom="0.15748031496062992" header="0.15748031496062992" footer="0.15748031496062992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workbookViewId="0">
      <selection activeCell="K13" sqref="K13"/>
    </sheetView>
  </sheetViews>
  <sheetFormatPr defaultRowHeight="18.75" x14ac:dyDescent="0.3"/>
  <cols>
    <col min="1" max="1" width="8.140625" style="23" customWidth="1"/>
    <col min="2" max="2" width="7.85546875" style="78" bestFit="1" customWidth="1"/>
    <col min="3" max="3" width="33" style="1" customWidth="1"/>
    <col min="4" max="4" width="10.7109375" style="78" customWidth="1"/>
    <col min="5" max="5" width="11.140625" style="78" customWidth="1"/>
    <col min="6" max="6" width="8.7109375" style="78" customWidth="1"/>
    <col min="7" max="7" width="11.85546875" style="78" customWidth="1"/>
    <col min="8" max="8" width="9.7109375" style="78" customWidth="1"/>
    <col min="9" max="9" width="9.140625" style="78"/>
    <col min="10" max="10" width="14" style="132" customWidth="1"/>
    <col min="11" max="11" width="11.85546875" style="78" customWidth="1"/>
    <col min="12" max="12" width="11.28515625" style="78" customWidth="1"/>
    <col min="13" max="13" width="11" style="78" customWidth="1"/>
    <col min="14" max="16384" width="9.140625" style="78"/>
  </cols>
  <sheetData>
    <row r="1" spans="1:11" ht="17.25" x14ac:dyDescent="0.3">
      <c r="A1" s="453" t="s">
        <v>209</v>
      </c>
      <c r="B1" s="453"/>
      <c r="C1" s="453"/>
      <c r="D1" s="453"/>
      <c r="E1" s="453"/>
      <c r="F1" s="453"/>
      <c r="G1" s="453"/>
      <c r="H1" s="453"/>
    </row>
    <row r="2" spans="1:11" ht="17.25" x14ac:dyDescent="0.3">
      <c r="A2" s="453" t="s">
        <v>2926</v>
      </c>
      <c r="B2" s="453"/>
      <c r="C2" s="453"/>
      <c r="D2" s="453"/>
      <c r="E2" s="453"/>
      <c r="F2" s="453"/>
      <c r="G2" s="453"/>
      <c r="H2" s="453"/>
    </row>
    <row r="3" spans="1:11" x14ac:dyDescent="0.3">
      <c r="A3" s="101" t="s">
        <v>127</v>
      </c>
      <c r="B3" s="77"/>
      <c r="C3" s="63"/>
      <c r="D3" s="77"/>
      <c r="E3" s="152"/>
      <c r="F3" s="77"/>
      <c r="G3" s="169" t="s">
        <v>5</v>
      </c>
      <c r="H3" s="169" t="s">
        <v>647</v>
      </c>
    </row>
    <row r="4" spans="1:11" x14ac:dyDescent="0.3">
      <c r="A4" s="178" t="s">
        <v>16</v>
      </c>
      <c r="B4" s="156" t="s">
        <v>12</v>
      </c>
      <c r="C4" s="65" t="s">
        <v>4</v>
      </c>
      <c r="D4" s="82" t="s">
        <v>15</v>
      </c>
      <c r="E4" s="82" t="s">
        <v>1</v>
      </c>
      <c r="F4" s="82" t="s">
        <v>34</v>
      </c>
      <c r="G4" s="83" t="s">
        <v>2</v>
      </c>
      <c r="H4" s="81" t="s">
        <v>3</v>
      </c>
    </row>
    <row r="5" spans="1:11" x14ac:dyDescent="0.3">
      <c r="A5" s="105"/>
      <c r="B5" s="84"/>
      <c r="C5" s="68"/>
      <c r="D5" s="86" t="s">
        <v>0</v>
      </c>
      <c r="E5" s="86"/>
      <c r="F5" s="86" t="s">
        <v>35</v>
      </c>
      <c r="G5" s="87"/>
      <c r="H5" s="158"/>
    </row>
    <row r="6" spans="1:11" x14ac:dyDescent="0.3">
      <c r="A6" s="179" t="s">
        <v>1006</v>
      </c>
      <c r="B6" s="97" t="s">
        <v>1007</v>
      </c>
      <c r="C6" s="219" t="s">
        <v>1761</v>
      </c>
      <c r="D6" s="93"/>
      <c r="E6" s="93"/>
      <c r="F6" s="93"/>
      <c r="G6" s="211"/>
      <c r="H6" s="75"/>
    </row>
    <row r="7" spans="1:11" x14ac:dyDescent="0.3">
      <c r="A7" s="179"/>
      <c r="B7" s="97">
        <v>1</v>
      </c>
      <c r="C7" s="219"/>
      <c r="D7" s="93"/>
      <c r="E7" s="93"/>
      <c r="F7" s="93"/>
      <c r="G7" s="92"/>
      <c r="H7" s="94"/>
    </row>
    <row r="8" spans="1:11" x14ac:dyDescent="0.3">
      <c r="A8" s="179"/>
      <c r="B8" s="90" t="s">
        <v>1974</v>
      </c>
      <c r="C8" s="218" t="s">
        <v>1762</v>
      </c>
      <c r="D8" s="93">
        <v>2000</v>
      </c>
      <c r="E8" s="93">
        <v>2000</v>
      </c>
      <c r="F8" s="93"/>
      <c r="G8" s="92">
        <f t="shared" ref="G8:G71" si="0">D8-E8</f>
        <v>0</v>
      </c>
      <c r="H8" s="94"/>
    </row>
    <row r="9" spans="1:11" x14ac:dyDescent="0.3">
      <c r="A9" s="179"/>
      <c r="B9" s="97" t="s">
        <v>2087</v>
      </c>
      <c r="C9" s="218" t="s">
        <v>1763</v>
      </c>
      <c r="D9" s="93">
        <v>2000</v>
      </c>
      <c r="E9" s="93">
        <v>2000</v>
      </c>
      <c r="F9" s="93"/>
      <c r="G9" s="92">
        <f t="shared" si="0"/>
        <v>0</v>
      </c>
      <c r="H9" s="75"/>
      <c r="J9" s="139"/>
      <c r="K9" s="138"/>
    </row>
    <row r="10" spans="1:11" x14ac:dyDescent="0.3">
      <c r="A10" s="179"/>
      <c r="B10" s="90" t="s">
        <v>2050</v>
      </c>
      <c r="C10" s="219" t="s">
        <v>119</v>
      </c>
      <c r="D10" s="93">
        <v>2000</v>
      </c>
      <c r="E10" s="93">
        <v>2000</v>
      </c>
      <c r="F10" s="134"/>
      <c r="G10" s="92">
        <f t="shared" si="0"/>
        <v>0</v>
      </c>
      <c r="H10" s="189"/>
      <c r="J10" s="139"/>
      <c r="K10" s="138"/>
    </row>
    <row r="11" spans="1:11" x14ac:dyDescent="0.3">
      <c r="A11" s="179"/>
      <c r="B11" s="97" t="s">
        <v>2035</v>
      </c>
      <c r="C11" s="219" t="s">
        <v>111</v>
      </c>
      <c r="D11" s="93">
        <v>2000</v>
      </c>
      <c r="E11" s="93">
        <v>2000</v>
      </c>
      <c r="F11" s="134"/>
      <c r="G11" s="92">
        <f t="shared" si="0"/>
        <v>0</v>
      </c>
      <c r="H11" s="189"/>
      <c r="J11" s="139"/>
      <c r="K11" s="138"/>
    </row>
    <row r="12" spans="1:11" x14ac:dyDescent="0.3">
      <c r="A12" s="179"/>
      <c r="B12" s="90" t="s">
        <v>1974</v>
      </c>
      <c r="C12" s="219" t="s">
        <v>154</v>
      </c>
      <c r="D12" s="93">
        <v>2000</v>
      </c>
      <c r="E12" s="93">
        <v>2000</v>
      </c>
      <c r="F12" s="134"/>
      <c r="G12" s="92">
        <f t="shared" si="0"/>
        <v>0</v>
      </c>
      <c r="H12" s="75"/>
      <c r="J12" s="139"/>
      <c r="K12" s="138"/>
    </row>
    <row r="13" spans="1:11" x14ac:dyDescent="0.3">
      <c r="A13" s="179"/>
      <c r="B13" s="97" t="s">
        <v>2034</v>
      </c>
      <c r="C13" s="219" t="s">
        <v>109</v>
      </c>
      <c r="D13" s="93">
        <v>2000</v>
      </c>
      <c r="E13" s="93">
        <v>2000</v>
      </c>
      <c r="F13" s="134"/>
      <c r="G13" s="92">
        <f t="shared" si="0"/>
        <v>0</v>
      </c>
      <c r="H13" s="75"/>
      <c r="J13" s="139"/>
      <c r="K13" s="138"/>
    </row>
    <row r="14" spans="1:11" x14ac:dyDescent="0.3">
      <c r="A14" s="179"/>
      <c r="B14" s="90" t="s">
        <v>2032</v>
      </c>
      <c r="C14" s="219" t="s">
        <v>1764</v>
      </c>
      <c r="D14" s="93">
        <v>2000</v>
      </c>
      <c r="E14" s="93">
        <v>2000</v>
      </c>
      <c r="F14" s="134"/>
      <c r="G14" s="92">
        <f t="shared" si="0"/>
        <v>0</v>
      </c>
      <c r="H14" s="189"/>
      <c r="J14" s="139"/>
      <c r="K14" s="138"/>
    </row>
    <row r="15" spans="1:11" x14ac:dyDescent="0.3">
      <c r="A15" s="179"/>
      <c r="B15" s="97" t="s">
        <v>2084</v>
      </c>
      <c r="C15" s="219" t="s">
        <v>115</v>
      </c>
      <c r="D15" s="93">
        <v>2000</v>
      </c>
      <c r="E15" s="93">
        <v>2000</v>
      </c>
      <c r="F15" s="134"/>
      <c r="G15" s="92">
        <f t="shared" si="0"/>
        <v>0</v>
      </c>
      <c r="H15" s="189"/>
      <c r="J15" s="139"/>
      <c r="K15" s="138"/>
    </row>
    <row r="16" spans="1:11" x14ac:dyDescent="0.3">
      <c r="A16" s="179"/>
      <c r="B16" s="90" t="s">
        <v>2032</v>
      </c>
      <c r="C16" s="219" t="s">
        <v>113</v>
      </c>
      <c r="D16" s="93">
        <v>2000</v>
      </c>
      <c r="E16" s="93">
        <v>2000</v>
      </c>
      <c r="F16" s="91"/>
      <c r="G16" s="92">
        <f t="shared" si="0"/>
        <v>0</v>
      </c>
      <c r="H16" s="189"/>
      <c r="J16" s="139"/>
      <c r="K16" s="138"/>
    </row>
    <row r="17" spans="1:11" x14ac:dyDescent="0.3">
      <c r="A17" s="179"/>
      <c r="B17" s="97" t="s">
        <v>1975</v>
      </c>
      <c r="C17" s="219" t="s">
        <v>1765</v>
      </c>
      <c r="D17" s="93">
        <v>2000</v>
      </c>
      <c r="E17" s="93">
        <v>2000</v>
      </c>
      <c r="F17" s="91"/>
      <c r="G17" s="92">
        <f t="shared" si="0"/>
        <v>0</v>
      </c>
      <c r="H17" s="189"/>
      <c r="J17" s="139"/>
      <c r="K17" s="138"/>
    </row>
    <row r="18" spans="1:11" x14ac:dyDescent="0.3">
      <c r="A18" s="179"/>
      <c r="B18" s="90" t="s">
        <v>2054</v>
      </c>
      <c r="C18" s="219" t="s">
        <v>117</v>
      </c>
      <c r="D18" s="93">
        <v>2000</v>
      </c>
      <c r="E18" s="93">
        <v>2000</v>
      </c>
      <c r="F18" s="134"/>
      <c r="G18" s="92">
        <f t="shared" si="0"/>
        <v>0</v>
      </c>
      <c r="H18" s="189"/>
      <c r="J18" s="139"/>
      <c r="K18" s="138"/>
    </row>
    <row r="19" spans="1:11" x14ac:dyDescent="0.3">
      <c r="A19" s="179"/>
      <c r="B19" s="97" t="s">
        <v>1976</v>
      </c>
      <c r="C19" s="219" t="s">
        <v>1766</v>
      </c>
      <c r="D19" s="93">
        <v>2000</v>
      </c>
      <c r="E19" s="93">
        <v>2000</v>
      </c>
      <c r="F19" s="134"/>
      <c r="G19" s="92">
        <f t="shared" si="0"/>
        <v>0</v>
      </c>
      <c r="H19" s="189"/>
      <c r="J19" s="139"/>
      <c r="K19" s="138"/>
    </row>
    <row r="20" spans="1:11" x14ac:dyDescent="0.3">
      <c r="A20" s="179"/>
      <c r="B20" s="90" t="s">
        <v>2039</v>
      </c>
      <c r="C20" s="219" t="s">
        <v>1767</v>
      </c>
      <c r="D20" s="93">
        <v>2000</v>
      </c>
      <c r="E20" s="93">
        <v>2000</v>
      </c>
      <c r="F20" s="134"/>
      <c r="G20" s="92">
        <f t="shared" si="0"/>
        <v>0</v>
      </c>
      <c r="H20" s="189"/>
      <c r="J20" s="139"/>
      <c r="K20" s="138"/>
    </row>
    <row r="21" spans="1:11" x14ac:dyDescent="0.3">
      <c r="A21" s="179"/>
      <c r="B21" s="97" t="s">
        <v>2035</v>
      </c>
      <c r="C21" s="219" t="s">
        <v>1768</v>
      </c>
      <c r="D21" s="93">
        <v>2000</v>
      </c>
      <c r="E21" s="93">
        <v>2000</v>
      </c>
      <c r="F21" s="134"/>
      <c r="G21" s="92">
        <f t="shared" si="0"/>
        <v>0</v>
      </c>
      <c r="H21" s="189"/>
      <c r="J21" s="139"/>
      <c r="K21" s="138"/>
    </row>
    <row r="22" spans="1:11" x14ac:dyDescent="0.3">
      <c r="A22" s="179"/>
      <c r="B22" s="90" t="s">
        <v>2212</v>
      </c>
      <c r="C22" s="219" t="s">
        <v>108</v>
      </c>
      <c r="D22" s="93">
        <v>2000</v>
      </c>
      <c r="E22" s="93">
        <v>2000</v>
      </c>
      <c r="F22" s="134"/>
      <c r="G22" s="92">
        <f t="shared" si="0"/>
        <v>0</v>
      </c>
      <c r="H22" s="189"/>
      <c r="J22" s="139"/>
      <c r="K22" s="138"/>
    </row>
    <row r="23" spans="1:11" x14ac:dyDescent="0.3">
      <c r="A23" s="179"/>
      <c r="B23" s="97" t="s">
        <v>1977</v>
      </c>
      <c r="C23" s="219" t="s">
        <v>1769</v>
      </c>
      <c r="D23" s="93">
        <v>2000</v>
      </c>
      <c r="E23" s="93">
        <v>2000</v>
      </c>
      <c r="F23" s="134"/>
      <c r="G23" s="92">
        <f t="shared" si="0"/>
        <v>0</v>
      </c>
      <c r="H23" s="189"/>
      <c r="J23" s="139"/>
      <c r="K23" s="138"/>
    </row>
    <row r="24" spans="1:11" x14ac:dyDescent="0.3">
      <c r="A24" s="179"/>
      <c r="B24" s="90" t="s">
        <v>2032</v>
      </c>
      <c r="C24" s="219" t="s">
        <v>1770</v>
      </c>
      <c r="D24" s="93">
        <v>2000</v>
      </c>
      <c r="E24" s="93">
        <v>2000</v>
      </c>
      <c r="F24" s="134"/>
      <c r="G24" s="92">
        <f t="shared" si="0"/>
        <v>0</v>
      </c>
      <c r="H24" s="189"/>
      <c r="J24" s="139"/>
      <c r="K24" s="138"/>
    </row>
    <row r="25" spans="1:11" x14ac:dyDescent="0.3">
      <c r="A25" s="179" t="s">
        <v>1950</v>
      </c>
      <c r="B25" s="97" t="s">
        <v>1957</v>
      </c>
      <c r="C25" s="219" t="s">
        <v>1771</v>
      </c>
      <c r="D25" s="93">
        <v>2000</v>
      </c>
      <c r="E25" s="93">
        <v>2000</v>
      </c>
      <c r="F25" s="134"/>
      <c r="G25" s="92">
        <f t="shared" si="0"/>
        <v>0</v>
      </c>
      <c r="H25" s="189"/>
      <c r="J25" s="139"/>
      <c r="K25" s="138"/>
    </row>
    <row r="26" spans="1:11" x14ac:dyDescent="0.3">
      <c r="A26" s="179"/>
      <c r="B26" s="97" t="s">
        <v>1958</v>
      </c>
      <c r="C26" s="219" t="s">
        <v>1772</v>
      </c>
      <c r="D26" s="93">
        <v>2000</v>
      </c>
      <c r="E26" s="93">
        <v>2000</v>
      </c>
      <c r="F26" s="134"/>
      <c r="G26" s="92">
        <f t="shared" si="0"/>
        <v>0</v>
      </c>
      <c r="H26" s="189"/>
      <c r="J26" s="139"/>
      <c r="K26" s="138"/>
    </row>
    <row r="27" spans="1:11" x14ac:dyDescent="0.3">
      <c r="A27" s="179"/>
      <c r="B27" s="97" t="s">
        <v>1975</v>
      </c>
      <c r="C27" s="219" t="s">
        <v>1773</v>
      </c>
      <c r="D27" s="93">
        <v>2000</v>
      </c>
      <c r="E27" s="93">
        <v>2000</v>
      </c>
      <c r="F27" s="134"/>
      <c r="G27" s="92">
        <f t="shared" si="0"/>
        <v>0</v>
      </c>
      <c r="H27" s="189"/>
      <c r="J27" s="139"/>
      <c r="K27" s="138"/>
    </row>
    <row r="28" spans="1:11" x14ac:dyDescent="0.3">
      <c r="A28" s="179"/>
      <c r="B28" s="90" t="s">
        <v>2033</v>
      </c>
      <c r="C28" s="219" t="s">
        <v>155</v>
      </c>
      <c r="D28" s="93">
        <v>2000</v>
      </c>
      <c r="E28" s="93">
        <v>2000</v>
      </c>
      <c r="F28" s="134"/>
      <c r="G28" s="92">
        <f t="shared" si="0"/>
        <v>0</v>
      </c>
      <c r="H28" s="189"/>
      <c r="J28" s="139"/>
      <c r="K28" s="138"/>
    </row>
    <row r="29" spans="1:11" x14ac:dyDescent="0.3">
      <c r="A29" s="179"/>
      <c r="B29" s="97" t="s">
        <v>2054</v>
      </c>
      <c r="C29" s="219" t="s">
        <v>1774</v>
      </c>
      <c r="D29" s="93">
        <v>2000</v>
      </c>
      <c r="E29" s="93">
        <v>2000</v>
      </c>
      <c r="F29" s="134"/>
      <c r="G29" s="92">
        <f t="shared" si="0"/>
        <v>0</v>
      </c>
      <c r="H29" s="189"/>
      <c r="J29" s="139"/>
      <c r="K29" s="138"/>
    </row>
    <row r="30" spans="1:11" x14ac:dyDescent="0.3">
      <c r="A30" s="179"/>
      <c r="B30" s="90" t="s">
        <v>2212</v>
      </c>
      <c r="C30" s="219" t="s">
        <v>1775</v>
      </c>
      <c r="D30" s="93">
        <v>2000</v>
      </c>
      <c r="E30" s="93">
        <v>2000</v>
      </c>
      <c r="F30" s="134"/>
      <c r="G30" s="92">
        <f t="shared" si="0"/>
        <v>0</v>
      </c>
      <c r="H30" s="189"/>
      <c r="J30" s="139"/>
      <c r="K30" s="138"/>
    </row>
    <row r="31" spans="1:11" x14ac:dyDescent="0.3">
      <c r="A31" s="179"/>
      <c r="B31" s="97" t="s">
        <v>1976</v>
      </c>
      <c r="C31" s="219" t="s">
        <v>1776</v>
      </c>
      <c r="D31" s="93">
        <v>2000</v>
      </c>
      <c r="E31" s="93">
        <v>2000</v>
      </c>
      <c r="F31" s="134"/>
      <c r="G31" s="92">
        <f t="shared" si="0"/>
        <v>0</v>
      </c>
      <c r="H31" s="189"/>
      <c r="J31" s="139"/>
      <c r="K31" s="138"/>
    </row>
    <row r="32" spans="1:11" x14ac:dyDescent="0.3">
      <c r="A32" s="179"/>
      <c r="B32" s="90" t="s">
        <v>2033</v>
      </c>
      <c r="C32" s="219" t="s">
        <v>1777</v>
      </c>
      <c r="D32" s="93">
        <v>2000</v>
      </c>
      <c r="E32" s="93">
        <v>2000</v>
      </c>
      <c r="F32" s="134"/>
      <c r="G32" s="92">
        <f t="shared" si="0"/>
        <v>0</v>
      </c>
      <c r="H32" s="189"/>
      <c r="J32" s="139"/>
      <c r="K32" s="138"/>
    </row>
    <row r="33" spans="1:11" x14ac:dyDescent="0.3">
      <c r="A33" s="179"/>
      <c r="B33" s="97" t="s">
        <v>2211</v>
      </c>
      <c r="C33" s="219" t="s">
        <v>1778</v>
      </c>
      <c r="D33" s="93">
        <v>2000</v>
      </c>
      <c r="E33" s="93">
        <v>2000</v>
      </c>
      <c r="F33" s="134"/>
      <c r="G33" s="92">
        <f t="shared" si="0"/>
        <v>0</v>
      </c>
      <c r="H33" s="189"/>
      <c r="J33" s="139"/>
      <c r="K33" s="138"/>
    </row>
    <row r="34" spans="1:11" x14ac:dyDescent="0.3">
      <c r="A34" s="179"/>
      <c r="B34" s="97" t="s">
        <v>1976</v>
      </c>
      <c r="C34" s="219" t="s">
        <v>1779</v>
      </c>
      <c r="D34" s="93">
        <v>2000</v>
      </c>
      <c r="E34" s="93">
        <v>2000</v>
      </c>
      <c r="F34" s="134"/>
      <c r="G34" s="92">
        <f t="shared" si="0"/>
        <v>0</v>
      </c>
      <c r="H34" s="189"/>
      <c r="J34" s="139"/>
      <c r="K34" s="138"/>
    </row>
    <row r="35" spans="1:11" x14ac:dyDescent="0.3">
      <c r="A35" s="179"/>
      <c r="B35" s="97" t="s">
        <v>1975</v>
      </c>
      <c r="C35" s="219" t="s">
        <v>1780</v>
      </c>
      <c r="D35" s="93">
        <v>2000</v>
      </c>
      <c r="E35" s="93">
        <v>2000</v>
      </c>
      <c r="F35" s="134"/>
      <c r="G35" s="92">
        <f t="shared" si="0"/>
        <v>0</v>
      </c>
      <c r="H35" s="189"/>
      <c r="J35" s="139"/>
      <c r="K35" s="138"/>
    </row>
    <row r="36" spans="1:11" x14ac:dyDescent="0.3">
      <c r="A36" s="179"/>
      <c r="B36" s="90" t="s">
        <v>1972</v>
      </c>
      <c r="C36" s="219" t="s">
        <v>1971</v>
      </c>
      <c r="D36" s="93">
        <v>2000</v>
      </c>
      <c r="E36" s="93">
        <v>2000</v>
      </c>
      <c r="F36" s="134"/>
      <c r="G36" s="92">
        <f t="shared" si="0"/>
        <v>0</v>
      </c>
      <c r="H36" s="189"/>
      <c r="J36" s="139"/>
      <c r="K36" s="138"/>
    </row>
    <row r="37" spans="1:11" x14ac:dyDescent="0.3">
      <c r="A37" s="179"/>
      <c r="B37" s="97" t="s">
        <v>2051</v>
      </c>
      <c r="C37" s="219" t="s">
        <v>1781</v>
      </c>
      <c r="D37" s="93">
        <v>2000</v>
      </c>
      <c r="E37" s="93">
        <v>2000</v>
      </c>
      <c r="F37" s="134"/>
      <c r="G37" s="92">
        <f t="shared" si="0"/>
        <v>0</v>
      </c>
      <c r="H37" s="189"/>
      <c r="J37" s="139"/>
      <c r="K37" s="138"/>
    </row>
    <row r="38" spans="1:11" x14ac:dyDescent="0.3">
      <c r="A38" s="179"/>
      <c r="B38" s="90" t="s">
        <v>1976</v>
      </c>
      <c r="C38" s="219" t="s">
        <v>1782</v>
      </c>
      <c r="D38" s="93">
        <v>2000</v>
      </c>
      <c r="E38" s="93">
        <v>2000</v>
      </c>
      <c r="F38" s="134"/>
      <c r="G38" s="92">
        <f t="shared" si="0"/>
        <v>0</v>
      </c>
      <c r="H38" s="189"/>
      <c r="J38" s="139"/>
      <c r="K38" s="138"/>
    </row>
    <row r="39" spans="1:11" x14ac:dyDescent="0.3">
      <c r="A39" s="179"/>
      <c r="B39" s="97" t="s">
        <v>1958</v>
      </c>
      <c r="C39" s="219" t="s">
        <v>1783</v>
      </c>
      <c r="D39" s="93">
        <v>2000</v>
      </c>
      <c r="E39" s="93">
        <v>2000</v>
      </c>
      <c r="F39" s="134"/>
      <c r="G39" s="92">
        <f t="shared" si="0"/>
        <v>0</v>
      </c>
      <c r="H39" s="189"/>
      <c r="J39" s="139"/>
      <c r="K39" s="138"/>
    </row>
    <row r="40" spans="1:11" x14ac:dyDescent="0.3">
      <c r="A40" s="179"/>
      <c r="B40" s="90" t="s">
        <v>2054</v>
      </c>
      <c r="C40" s="219" t="s">
        <v>1784</v>
      </c>
      <c r="D40" s="93">
        <v>2000</v>
      </c>
      <c r="E40" s="93">
        <v>2000</v>
      </c>
      <c r="F40" s="134"/>
      <c r="G40" s="92">
        <f t="shared" si="0"/>
        <v>0</v>
      </c>
      <c r="H40" s="189"/>
      <c r="J40" s="139"/>
      <c r="K40" s="138"/>
    </row>
    <row r="41" spans="1:11" x14ac:dyDescent="0.3">
      <c r="A41" s="179"/>
      <c r="B41" s="97" t="s">
        <v>2031</v>
      </c>
      <c r="C41" s="219" t="s">
        <v>1785</v>
      </c>
      <c r="D41" s="93">
        <v>2000</v>
      </c>
      <c r="E41" s="93">
        <v>2000</v>
      </c>
      <c r="F41" s="134"/>
      <c r="G41" s="92">
        <f t="shared" si="0"/>
        <v>0</v>
      </c>
      <c r="H41" s="189"/>
      <c r="J41" s="139"/>
      <c r="K41" s="138"/>
    </row>
    <row r="42" spans="1:11" x14ac:dyDescent="0.3">
      <c r="A42" s="179"/>
      <c r="B42" s="90" t="s">
        <v>1958</v>
      </c>
      <c r="C42" s="219" t="s">
        <v>118</v>
      </c>
      <c r="D42" s="93">
        <v>2000</v>
      </c>
      <c r="E42" s="93">
        <v>2000</v>
      </c>
      <c r="F42" s="134"/>
      <c r="G42" s="92">
        <f t="shared" si="0"/>
        <v>0</v>
      </c>
      <c r="H42" s="189"/>
      <c r="J42" s="139"/>
      <c r="K42" s="138"/>
    </row>
    <row r="43" spans="1:11" x14ac:dyDescent="0.3">
      <c r="A43" s="179"/>
      <c r="B43" s="97" t="s">
        <v>1974</v>
      </c>
      <c r="C43" s="219" t="s">
        <v>1786</v>
      </c>
      <c r="D43" s="93">
        <v>2000</v>
      </c>
      <c r="E43" s="93">
        <v>2000</v>
      </c>
      <c r="F43" s="134"/>
      <c r="G43" s="92">
        <f t="shared" si="0"/>
        <v>0</v>
      </c>
      <c r="H43" s="189"/>
      <c r="J43" s="139"/>
      <c r="K43" s="138"/>
    </row>
    <row r="44" spans="1:11" x14ac:dyDescent="0.3">
      <c r="A44" s="179"/>
      <c r="B44" s="97" t="s">
        <v>1974</v>
      </c>
      <c r="C44" s="219" t="s">
        <v>1787</v>
      </c>
      <c r="D44" s="93">
        <v>2000</v>
      </c>
      <c r="E44" s="93">
        <v>2000</v>
      </c>
      <c r="F44" s="134"/>
      <c r="G44" s="92">
        <f t="shared" si="0"/>
        <v>0</v>
      </c>
      <c r="H44" s="189"/>
      <c r="J44" s="139"/>
      <c r="K44" s="138"/>
    </row>
    <row r="45" spans="1:11" x14ac:dyDescent="0.3">
      <c r="A45" s="179"/>
      <c r="B45" s="97" t="s">
        <v>1975</v>
      </c>
      <c r="C45" s="219" t="s">
        <v>153</v>
      </c>
      <c r="D45" s="93">
        <v>2000</v>
      </c>
      <c r="E45" s="93">
        <v>2000</v>
      </c>
      <c r="F45" s="134"/>
      <c r="G45" s="92">
        <f t="shared" si="0"/>
        <v>0</v>
      </c>
      <c r="H45" s="189"/>
      <c r="J45" s="139"/>
      <c r="K45" s="138"/>
    </row>
    <row r="46" spans="1:11" x14ac:dyDescent="0.3">
      <c r="A46" s="179"/>
      <c r="B46" s="97" t="s">
        <v>1975</v>
      </c>
      <c r="C46" s="219" t="s">
        <v>114</v>
      </c>
      <c r="D46" s="93">
        <v>2000</v>
      </c>
      <c r="E46" s="93">
        <v>2000</v>
      </c>
      <c r="F46" s="134"/>
      <c r="G46" s="92">
        <f t="shared" si="0"/>
        <v>0</v>
      </c>
      <c r="H46" s="189"/>
      <c r="J46" s="139"/>
      <c r="K46" s="138"/>
    </row>
    <row r="47" spans="1:11" x14ac:dyDescent="0.3">
      <c r="A47" s="179"/>
      <c r="B47" s="97" t="s">
        <v>2033</v>
      </c>
      <c r="C47" s="219" t="s">
        <v>110</v>
      </c>
      <c r="D47" s="93">
        <v>2000</v>
      </c>
      <c r="E47" s="93">
        <v>2000</v>
      </c>
      <c r="F47" s="134"/>
      <c r="G47" s="92">
        <f t="shared" si="0"/>
        <v>0</v>
      </c>
      <c r="H47" s="189"/>
      <c r="J47" s="139"/>
      <c r="K47" s="138"/>
    </row>
    <row r="48" spans="1:11" x14ac:dyDescent="0.3">
      <c r="A48" s="179"/>
      <c r="B48" s="90" t="s">
        <v>2053</v>
      </c>
      <c r="C48" s="219" t="s">
        <v>1788</v>
      </c>
      <c r="D48" s="93">
        <v>2000</v>
      </c>
      <c r="E48" s="93">
        <v>2000</v>
      </c>
      <c r="F48" s="134"/>
      <c r="G48" s="92">
        <f t="shared" si="0"/>
        <v>0</v>
      </c>
      <c r="H48" s="189"/>
      <c r="J48" s="139"/>
      <c r="K48" s="138"/>
    </row>
    <row r="49" spans="1:11" x14ac:dyDescent="0.3">
      <c r="A49" s="179"/>
      <c r="B49" s="97" t="s">
        <v>2039</v>
      </c>
      <c r="C49" s="219" t="s">
        <v>1789</v>
      </c>
      <c r="D49" s="93">
        <v>2000</v>
      </c>
      <c r="E49" s="93">
        <v>2000</v>
      </c>
      <c r="F49" s="134"/>
      <c r="G49" s="92">
        <f t="shared" si="0"/>
        <v>0</v>
      </c>
      <c r="H49" s="189"/>
      <c r="J49" s="139"/>
      <c r="K49" s="138"/>
    </row>
    <row r="50" spans="1:11" x14ac:dyDescent="0.3">
      <c r="A50" s="179"/>
      <c r="B50" s="90" t="s">
        <v>1976</v>
      </c>
      <c r="C50" s="219" t="s">
        <v>1790</v>
      </c>
      <c r="D50" s="93">
        <v>2000</v>
      </c>
      <c r="E50" s="93">
        <v>2000</v>
      </c>
      <c r="F50" s="134"/>
      <c r="G50" s="92">
        <f t="shared" si="0"/>
        <v>0</v>
      </c>
      <c r="H50" s="189"/>
      <c r="J50" s="139"/>
      <c r="K50" s="138"/>
    </row>
    <row r="51" spans="1:11" x14ac:dyDescent="0.3">
      <c r="A51" s="179"/>
      <c r="B51" s="97" t="s">
        <v>1975</v>
      </c>
      <c r="C51" s="219" t="s">
        <v>1791</v>
      </c>
      <c r="D51" s="98">
        <v>2000</v>
      </c>
      <c r="E51" s="98">
        <v>2000</v>
      </c>
      <c r="F51" s="134"/>
      <c r="G51" s="92">
        <f t="shared" si="0"/>
        <v>0</v>
      </c>
      <c r="H51" s="189"/>
      <c r="J51" s="139"/>
      <c r="K51" s="138"/>
    </row>
    <row r="52" spans="1:11" x14ac:dyDescent="0.3">
      <c r="A52" s="179"/>
      <c r="B52" s="90" t="s">
        <v>2035</v>
      </c>
      <c r="C52" s="219" t="s">
        <v>1792</v>
      </c>
      <c r="D52" s="93">
        <v>2000</v>
      </c>
      <c r="E52" s="93">
        <v>2000</v>
      </c>
      <c r="F52" s="134"/>
      <c r="G52" s="92">
        <f t="shared" si="0"/>
        <v>0</v>
      </c>
      <c r="H52" s="189"/>
      <c r="J52" s="139"/>
      <c r="K52" s="138"/>
    </row>
    <row r="53" spans="1:11" x14ac:dyDescent="0.3">
      <c r="A53" s="179"/>
      <c r="B53" s="97" t="s">
        <v>2035</v>
      </c>
      <c r="C53" s="219" t="s">
        <v>1793</v>
      </c>
      <c r="D53" s="93">
        <v>2000</v>
      </c>
      <c r="E53" s="93">
        <v>2000</v>
      </c>
      <c r="F53" s="134"/>
      <c r="G53" s="92">
        <f t="shared" si="0"/>
        <v>0</v>
      </c>
      <c r="H53" s="189"/>
      <c r="J53" s="139"/>
      <c r="K53" s="138"/>
    </row>
    <row r="54" spans="1:11" x14ac:dyDescent="0.3">
      <c r="A54" s="179"/>
      <c r="B54" s="90" t="s">
        <v>1976</v>
      </c>
      <c r="C54" s="219" t="s">
        <v>1794</v>
      </c>
      <c r="D54" s="93">
        <v>2000</v>
      </c>
      <c r="E54" s="93">
        <v>2000</v>
      </c>
      <c r="F54" s="134"/>
      <c r="G54" s="92">
        <f t="shared" si="0"/>
        <v>0</v>
      </c>
      <c r="H54" s="189"/>
      <c r="J54" s="139"/>
      <c r="K54" s="138"/>
    </row>
    <row r="55" spans="1:11" x14ac:dyDescent="0.3">
      <c r="A55" s="179"/>
      <c r="B55" s="97" t="s">
        <v>2085</v>
      </c>
      <c r="C55" s="219" t="s">
        <v>1795</v>
      </c>
      <c r="D55" s="93">
        <v>2000</v>
      </c>
      <c r="E55" s="93">
        <v>2000</v>
      </c>
      <c r="F55" s="134"/>
      <c r="G55" s="92">
        <f t="shared" si="0"/>
        <v>0</v>
      </c>
      <c r="H55" s="189"/>
      <c r="J55" s="139"/>
      <c r="K55" s="138"/>
    </row>
    <row r="56" spans="1:11" x14ac:dyDescent="0.3">
      <c r="A56" s="179"/>
      <c r="B56" s="90" t="s">
        <v>2739</v>
      </c>
      <c r="C56" s="219" t="s">
        <v>1796</v>
      </c>
      <c r="D56" s="93">
        <v>2000</v>
      </c>
      <c r="E56" s="93">
        <v>2000</v>
      </c>
      <c r="F56" s="134"/>
      <c r="G56" s="223">
        <f t="shared" si="0"/>
        <v>0</v>
      </c>
      <c r="H56" s="189"/>
      <c r="J56" s="139"/>
      <c r="K56" s="138"/>
    </row>
    <row r="57" spans="1:11" x14ac:dyDescent="0.3">
      <c r="A57" s="179"/>
      <c r="B57" s="97" t="s">
        <v>2035</v>
      </c>
      <c r="C57" s="219" t="s">
        <v>1797</v>
      </c>
      <c r="D57" s="93">
        <v>2000</v>
      </c>
      <c r="E57" s="93">
        <v>2000</v>
      </c>
      <c r="F57" s="134"/>
      <c r="G57" s="92">
        <f t="shared" si="0"/>
        <v>0</v>
      </c>
      <c r="H57" s="189"/>
      <c r="J57" s="139"/>
      <c r="K57" s="138"/>
    </row>
    <row r="58" spans="1:11" x14ac:dyDescent="0.3">
      <c r="A58" s="179"/>
      <c r="B58" s="90" t="s">
        <v>1976</v>
      </c>
      <c r="C58" s="219" t="s">
        <v>1798</v>
      </c>
      <c r="D58" s="93">
        <v>2000</v>
      </c>
      <c r="E58" s="93">
        <v>2000</v>
      </c>
      <c r="F58" s="134"/>
      <c r="G58" s="92">
        <f t="shared" si="0"/>
        <v>0</v>
      </c>
      <c r="H58" s="189"/>
      <c r="J58" s="139"/>
      <c r="K58" s="138"/>
    </row>
    <row r="59" spans="1:11" x14ac:dyDescent="0.3">
      <c r="A59" s="179"/>
      <c r="B59" s="97" t="s">
        <v>2086</v>
      </c>
      <c r="C59" s="219" t="s">
        <v>1799</v>
      </c>
      <c r="D59" s="93">
        <v>2000</v>
      </c>
      <c r="E59" s="93">
        <v>2000</v>
      </c>
      <c r="F59" s="134"/>
      <c r="G59" s="92">
        <f t="shared" si="0"/>
        <v>0</v>
      </c>
      <c r="H59" s="189"/>
      <c r="J59" s="139"/>
      <c r="K59" s="138"/>
    </row>
    <row r="60" spans="1:11" x14ac:dyDescent="0.3">
      <c r="A60" s="179"/>
      <c r="B60" s="97" t="s">
        <v>2323</v>
      </c>
      <c r="C60" s="219" t="s">
        <v>1800</v>
      </c>
      <c r="D60" s="93">
        <v>2000</v>
      </c>
      <c r="E60" s="93">
        <v>2000</v>
      </c>
      <c r="F60" s="134"/>
      <c r="G60" s="223">
        <f t="shared" si="0"/>
        <v>0</v>
      </c>
      <c r="H60" s="189"/>
      <c r="J60" s="139"/>
      <c r="K60" s="138"/>
    </row>
    <row r="61" spans="1:11" x14ac:dyDescent="0.3">
      <c r="A61" s="179"/>
      <c r="B61" s="97" t="s">
        <v>2323</v>
      </c>
      <c r="C61" s="219" t="s">
        <v>1801</v>
      </c>
      <c r="D61" s="93">
        <v>2000</v>
      </c>
      <c r="E61" s="93">
        <v>2000</v>
      </c>
      <c r="F61" s="134"/>
      <c r="G61" s="92">
        <f t="shared" si="0"/>
        <v>0</v>
      </c>
      <c r="H61" s="189"/>
      <c r="J61" s="139"/>
      <c r="K61" s="138"/>
    </row>
    <row r="62" spans="1:11" x14ac:dyDescent="0.3">
      <c r="A62" s="179"/>
      <c r="B62" s="97" t="s">
        <v>2323</v>
      </c>
      <c r="C62" s="219" t="s">
        <v>1802</v>
      </c>
      <c r="D62" s="93">
        <v>2000</v>
      </c>
      <c r="E62" s="93">
        <v>2000</v>
      </c>
      <c r="F62" s="134"/>
      <c r="G62" s="223">
        <f t="shared" si="0"/>
        <v>0</v>
      </c>
      <c r="H62" s="189"/>
      <c r="J62" s="139"/>
      <c r="K62" s="138"/>
    </row>
    <row r="63" spans="1:11" x14ac:dyDescent="0.3">
      <c r="A63" s="179"/>
      <c r="B63" s="97" t="s">
        <v>2039</v>
      </c>
      <c r="C63" s="219" t="s">
        <v>1803</v>
      </c>
      <c r="D63" s="93">
        <v>2000</v>
      </c>
      <c r="E63" s="93">
        <v>2000</v>
      </c>
      <c r="F63" s="134"/>
      <c r="G63" s="92">
        <f t="shared" si="0"/>
        <v>0</v>
      </c>
      <c r="H63" s="189"/>
      <c r="J63" s="139"/>
      <c r="K63" s="138"/>
    </row>
    <row r="64" spans="1:11" x14ac:dyDescent="0.3">
      <c r="A64" s="179"/>
      <c r="B64" s="90" t="s">
        <v>2086</v>
      </c>
      <c r="C64" s="219" t="s">
        <v>1804</v>
      </c>
      <c r="D64" s="93">
        <v>2000</v>
      </c>
      <c r="E64" s="93">
        <v>2000</v>
      </c>
      <c r="F64" s="134"/>
      <c r="G64" s="92">
        <f t="shared" si="0"/>
        <v>0</v>
      </c>
      <c r="H64" s="189"/>
      <c r="J64" s="139"/>
      <c r="K64" s="138"/>
    </row>
    <row r="65" spans="1:14" x14ac:dyDescent="0.3">
      <c r="A65" s="179"/>
      <c r="B65" s="97" t="s">
        <v>1973</v>
      </c>
      <c r="C65" s="219" t="s">
        <v>1805</v>
      </c>
      <c r="D65" s="93">
        <v>2000</v>
      </c>
      <c r="E65" s="93">
        <v>2000</v>
      </c>
      <c r="F65" s="134"/>
      <c r="G65" s="92">
        <f t="shared" si="0"/>
        <v>0</v>
      </c>
      <c r="H65" s="189"/>
      <c r="J65" s="139"/>
      <c r="K65" s="138"/>
    </row>
    <row r="66" spans="1:14" x14ac:dyDescent="0.3">
      <c r="A66" s="179"/>
      <c r="B66" s="90" t="s">
        <v>2052</v>
      </c>
      <c r="C66" s="219" t="s">
        <v>1806</v>
      </c>
      <c r="D66" s="93">
        <v>2000</v>
      </c>
      <c r="E66" s="93">
        <v>2000</v>
      </c>
      <c r="F66" s="134"/>
      <c r="G66" s="92">
        <f t="shared" si="0"/>
        <v>0</v>
      </c>
      <c r="H66" s="189"/>
      <c r="J66" s="139"/>
      <c r="K66" s="138"/>
    </row>
    <row r="67" spans="1:14" x14ac:dyDescent="0.3">
      <c r="A67" s="179"/>
      <c r="B67" s="90" t="s">
        <v>2413</v>
      </c>
      <c r="C67" s="219" t="s">
        <v>1807</v>
      </c>
      <c r="D67" s="93">
        <v>2000</v>
      </c>
      <c r="E67" s="93">
        <v>2000</v>
      </c>
      <c r="F67" s="134"/>
      <c r="G67" s="92">
        <f t="shared" si="0"/>
        <v>0</v>
      </c>
      <c r="H67" s="189"/>
      <c r="J67" s="139"/>
      <c r="K67" s="138"/>
    </row>
    <row r="68" spans="1:14" x14ac:dyDescent="0.3">
      <c r="A68" s="179"/>
      <c r="B68" s="90" t="s">
        <v>2035</v>
      </c>
      <c r="C68" s="219" t="s">
        <v>1808</v>
      </c>
      <c r="D68" s="93">
        <v>2000</v>
      </c>
      <c r="E68" s="93">
        <v>2000</v>
      </c>
      <c r="F68" s="134"/>
      <c r="G68" s="92">
        <f t="shared" si="0"/>
        <v>0</v>
      </c>
      <c r="H68" s="189"/>
      <c r="J68" s="139"/>
      <c r="K68" s="138"/>
    </row>
    <row r="69" spans="1:14" x14ac:dyDescent="0.3">
      <c r="A69" s="179"/>
      <c r="B69" s="97" t="s">
        <v>1970</v>
      </c>
      <c r="C69" s="219" t="s">
        <v>116</v>
      </c>
      <c r="D69" s="93">
        <v>2000</v>
      </c>
      <c r="E69" s="93">
        <v>2000</v>
      </c>
      <c r="F69" s="134"/>
      <c r="G69" s="92">
        <f t="shared" si="0"/>
        <v>0</v>
      </c>
      <c r="H69" s="189"/>
      <c r="J69" s="139"/>
      <c r="K69" s="138"/>
    </row>
    <row r="70" spans="1:14" x14ac:dyDescent="0.3">
      <c r="A70" s="179"/>
      <c r="B70" s="90" t="s">
        <v>2321</v>
      </c>
      <c r="C70" s="219" t="s">
        <v>1809</v>
      </c>
      <c r="D70" s="93">
        <v>2000</v>
      </c>
      <c r="E70" s="93">
        <v>2000</v>
      </c>
      <c r="F70" s="134"/>
      <c r="G70" s="223">
        <f t="shared" si="0"/>
        <v>0</v>
      </c>
      <c r="H70" s="189"/>
      <c r="J70" s="139"/>
      <c r="K70" s="138"/>
    </row>
    <row r="71" spans="1:14" x14ac:dyDescent="0.3">
      <c r="A71" s="179"/>
      <c r="B71" s="97" t="s">
        <v>2198</v>
      </c>
      <c r="C71" s="219" t="s">
        <v>1810</v>
      </c>
      <c r="D71" s="93">
        <v>2000</v>
      </c>
      <c r="E71" s="93">
        <v>2000</v>
      </c>
      <c r="F71" s="134"/>
      <c r="G71" s="92">
        <f t="shared" si="0"/>
        <v>0</v>
      </c>
      <c r="H71" s="189"/>
      <c r="J71" s="139"/>
      <c r="K71" s="138"/>
    </row>
    <row r="72" spans="1:14" x14ac:dyDescent="0.3">
      <c r="A72" s="179"/>
      <c r="B72" s="97" t="s">
        <v>1958</v>
      </c>
      <c r="C72" s="219" t="s">
        <v>1811</v>
      </c>
      <c r="D72" s="93">
        <v>2000</v>
      </c>
      <c r="E72" s="93">
        <v>2000</v>
      </c>
      <c r="F72" s="134"/>
      <c r="G72" s="92">
        <f t="shared" ref="G72:G74" si="1">D72-E72</f>
        <v>0</v>
      </c>
      <c r="H72" s="189"/>
      <c r="J72" s="139"/>
      <c r="K72" s="138"/>
    </row>
    <row r="73" spans="1:14" x14ac:dyDescent="0.3">
      <c r="A73" s="179" t="s">
        <v>1942</v>
      </c>
      <c r="B73" s="97" t="s">
        <v>1949</v>
      </c>
      <c r="C73" s="219" t="s">
        <v>1812</v>
      </c>
      <c r="D73" s="93">
        <v>2000</v>
      </c>
      <c r="E73" s="93">
        <v>2000</v>
      </c>
      <c r="F73" s="134"/>
      <c r="G73" s="92">
        <f t="shared" si="1"/>
        <v>0</v>
      </c>
      <c r="H73" s="189"/>
      <c r="J73" s="139"/>
      <c r="K73" s="138"/>
    </row>
    <row r="74" spans="1:14" x14ac:dyDescent="0.3">
      <c r="A74" s="179"/>
      <c r="B74" s="90" t="s">
        <v>1975</v>
      </c>
      <c r="C74" s="219" t="s">
        <v>1813</v>
      </c>
      <c r="D74" s="93">
        <v>2000</v>
      </c>
      <c r="E74" s="93">
        <v>2000</v>
      </c>
      <c r="F74" s="134"/>
      <c r="G74" s="92">
        <f t="shared" si="1"/>
        <v>0</v>
      </c>
      <c r="H74" s="189"/>
      <c r="J74" s="139"/>
      <c r="K74" s="138"/>
    </row>
    <row r="75" spans="1:14" ht="19.5" thickBot="1" x14ac:dyDescent="0.35">
      <c r="A75" s="108"/>
      <c r="B75" s="143"/>
      <c r="C75" s="220" t="s">
        <v>107</v>
      </c>
      <c r="D75" s="170">
        <f>SUM(D6:D74)</f>
        <v>134000</v>
      </c>
      <c r="E75" s="170">
        <f>SUM(E6:E74)</f>
        <v>134000</v>
      </c>
      <c r="F75" s="170">
        <f>SUM(F6:F74)</f>
        <v>0</v>
      </c>
      <c r="G75" s="161">
        <f>D75-E75-F75</f>
        <v>0</v>
      </c>
      <c r="H75" s="94"/>
      <c r="J75" s="139"/>
      <c r="K75" s="138"/>
    </row>
    <row r="76" spans="1:14" ht="19.5" thickTop="1" x14ac:dyDescent="0.3">
      <c r="D76" s="137"/>
      <c r="F76" s="176"/>
      <c r="G76" s="199"/>
      <c r="I76" s="155"/>
      <c r="J76" s="139"/>
      <c r="K76" s="138"/>
    </row>
    <row r="77" spans="1:14" x14ac:dyDescent="0.3">
      <c r="D77" s="137"/>
      <c r="E77" s="132"/>
      <c r="F77" s="164"/>
      <c r="G77" s="132"/>
      <c r="I77" s="155"/>
    </row>
    <row r="78" spans="1:14" x14ac:dyDescent="0.3">
      <c r="D78" s="137"/>
      <c r="E78" s="132"/>
      <c r="G78" s="132"/>
      <c r="I78" s="132"/>
      <c r="L78" s="132"/>
    </row>
    <row r="79" spans="1:14" x14ac:dyDescent="0.3">
      <c r="C79" s="50"/>
      <c r="E79" s="132"/>
      <c r="G79" s="164"/>
      <c r="L79" s="132"/>
    </row>
    <row r="80" spans="1:14" x14ac:dyDescent="0.3">
      <c r="C80" s="50"/>
      <c r="E80" s="164"/>
      <c r="G80" s="164"/>
      <c r="L80" s="164"/>
      <c r="N80" s="164"/>
    </row>
    <row r="81" spans="2:14" x14ac:dyDescent="0.3">
      <c r="E81" s="139"/>
      <c r="F81" s="132"/>
      <c r="G81" s="164"/>
      <c r="L81" s="132"/>
      <c r="M81" s="132"/>
      <c r="N81" s="164"/>
    </row>
    <row r="82" spans="2:14" x14ac:dyDescent="0.3">
      <c r="B82" s="138"/>
      <c r="C82" s="59"/>
      <c r="D82" s="171"/>
      <c r="E82" s="172"/>
      <c r="G82" s="173"/>
      <c r="N82" s="173"/>
    </row>
    <row r="83" spans="2:14" x14ac:dyDescent="0.3">
      <c r="B83" s="138"/>
      <c r="C83" s="4"/>
      <c r="D83" s="140"/>
      <c r="E83" s="139"/>
    </row>
    <row r="84" spans="2:14" x14ac:dyDescent="0.3">
      <c r="B84" s="138"/>
      <c r="C84" s="4"/>
      <c r="D84" s="140"/>
      <c r="E84" s="139"/>
      <c r="G84" s="132"/>
      <c r="N84" s="132"/>
    </row>
    <row r="85" spans="2:14" x14ac:dyDescent="0.3">
      <c r="B85" s="138"/>
      <c r="C85" s="4"/>
      <c r="D85" s="140"/>
      <c r="E85" s="139"/>
      <c r="G85" s="132"/>
    </row>
    <row r="86" spans="2:14" x14ac:dyDescent="0.3">
      <c r="B86" s="138"/>
      <c r="C86" s="4"/>
      <c r="D86" s="174"/>
      <c r="E86" s="146"/>
    </row>
    <row r="87" spans="2:14" x14ac:dyDescent="0.3">
      <c r="B87" s="138"/>
      <c r="C87" s="4"/>
      <c r="D87" s="138"/>
      <c r="E87" s="139"/>
    </row>
    <row r="88" spans="2:14" x14ac:dyDescent="0.3">
      <c r="B88" s="138"/>
      <c r="C88" s="4"/>
      <c r="D88" s="138"/>
      <c r="E88" s="146"/>
    </row>
  </sheetData>
  <mergeCells count="2">
    <mergeCell ref="A1:H1"/>
    <mergeCell ref="A2:H2"/>
  </mergeCells>
  <pageMargins left="0.22" right="0.15" top="0.15748031496062992" bottom="0.15748031496062992" header="0.15748031496062992" footer="0.15748031496062992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topLeftCell="A55" workbookViewId="0">
      <selection activeCell="I67" sqref="I1:I1048576"/>
    </sheetView>
  </sheetViews>
  <sheetFormatPr defaultRowHeight="18.75" x14ac:dyDescent="0.3"/>
  <cols>
    <col min="1" max="1" width="8.140625" style="23" customWidth="1"/>
    <col min="2" max="2" width="7.85546875" style="78" bestFit="1" customWidth="1"/>
    <col min="3" max="3" width="33" style="78" customWidth="1"/>
    <col min="4" max="4" width="10.7109375" style="337" customWidth="1"/>
    <col min="5" max="5" width="11.140625" style="78" customWidth="1"/>
    <col min="6" max="6" width="8.7109375" style="78" customWidth="1"/>
    <col min="7" max="7" width="11.85546875" style="1" customWidth="1"/>
    <col min="8" max="8" width="9.7109375" style="78" customWidth="1"/>
    <col min="9" max="9" width="9.140625" style="78"/>
    <col min="10" max="10" width="14" style="132" customWidth="1"/>
    <col min="11" max="11" width="11.85546875" style="78" customWidth="1"/>
    <col min="12" max="12" width="11.28515625" style="78" customWidth="1"/>
    <col min="13" max="13" width="11" style="78" customWidth="1"/>
    <col min="14" max="16384" width="9.140625" style="78"/>
  </cols>
  <sheetData>
    <row r="1" spans="1:11" ht="17.25" x14ac:dyDescent="0.3">
      <c r="A1" s="453" t="s">
        <v>209</v>
      </c>
      <c r="B1" s="453"/>
      <c r="C1" s="453"/>
      <c r="D1" s="453"/>
      <c r="E1" s="453"/>
      <c r="F1" s="453"/>
      <c r="G1" s="453"/>
      <c r="H1" s="453"/>
    </row>
    <row r="2" spans="1:11" ht="17.25" x14ac:dyDescent="0.3">
      <c r="A2" s="453" t="s">
        <v>2390</v>
      </c>
      <c r="B2" s="453"/>
      <c r="C2" s="453"/>
      <c r="D2" s="453"/>
      <c r="E2" s="453"/>
      <c r="F2" s="453"/>
      <c r="G2" s="453"/>
      <c r="H2" s="453"/>
    </row>
    <row r="3" spans="1:11" x14ac:dyDescent="0.3">
      <c r="A3" s="101" t="s">
        <v>127</v>
      </c>
      <c r="B3" s="77"/>
      <c r="C3" s="77"/>
      <c r="D3" s="366"/>
      <c r="E3" s="152"/>
      <c r="F3" s="77"/>
      <c r="G3" s="226" t="s">
        <v>5</v>
      </c>
      <c r="H3" s="169" t="s">
        <v>648</v>
      </c>
    </row>
    <row r="4" spans="1:11" x14ac:dyDescent="0.3">
      <c r="A4" s="178" t="s">
        <v>16</v>
      </c>
      <c r="B4" s="156" t="s">
        <v>12</v>
      </c>
      <c r="C4" s="81" t="s">
        <v>4</v>
      </c>
      <c r="D4" s="367" t="s">
        <v>15</v>
      </c>
      <c r="E4" s="82" t="s">
        <v>1</v>
      </c>
      <c r="F4" s="82" t="s">
        <v>34</v>
      </c>
      <c r="G4" s="260" t="s">
        <v>2</v>
      </c>
      <c r="H4" s="81" t="s">
        <v>3</v>
      </c>
    </row>
    <row r="5" spans="1:11" x14ac:dyDescent="0.3">
      <c r="A5" s="105"/>
      <c r="B5" s="84"/>
      <c r="C5" s="85"/>
      <c r="D5" s="368" t="s">
        <v>0</v>
      </c>
      <c r="E5" s="86"/>
      <c r="F5" s="86" t="s">
        <v>35</v>
      </c>
      <c r="G5" s="261"/>
      <c r="H5" s="158"/>
    </row>
    <row r="6" spans="1:11" x14ac:dyDescent="0.3">
      <c r="A6" s="179" t="s">
        <v>281</v>
      </c>
      <c r="B6" s="90" t="s">
        <v>287</v>
      </c>
      <c r="C6" s="49" t="s">
        <v>288</v>
      </c>
      <c r="D6" s="136">
        <v>2000</v>
      </c>
      <c r="E6" s="93"/>
      <c r="F6" s="93"/>
      <c r="G6" s="42">
        <v>2000</v>
      </c>
      <c r="H6" s="75" t="s">
        <v>286</v>
      </c>
    </row>
    <row r="7" spans="1:11" x14ac:dyDescent="0.3">
      <c r="A7" s="179" t="s">
        <v>790</v>
      </c>
      <c r="B7" s="90" t="s">
        <v>800</v>
      </c>
      <c r="C7" s="49" t="s">
        <v>801</v>
      </c>
      <c r="D7" s="136"/>
      <c r="E7" s="93">
        <v>1198</v>
      </c>
      <c r="F7" s="93"/>
      <c r="G7" s="301">
        <f>G6-E7</f>
        <v>802</v>
      </c>
      <c r="H7" s="94"/>
    </row>
    <row r="8" spans="1:11" x14ac:dyDescent="0.3">
      <c r="A8" s="179"/>
      <c r="B8" s="90"/>
      <c r="C8" s="49"/>
      <c r="D8" s="136">
        <v>-802</v>
      </c>
      <c r="E8" s="93"/>
      <c r="F8" s="93"/>
      <c r="G8" s="301">
        <f>G7+D8</f>
        <v>0</v>
      </c>
      <c r="H8" s="94"/>
    </row>
    <row r="9" spans="1:11" x14ac:dyDescent="0.3">
      <c r="A9" s="179"/>
      <c r="B9" s="90"/>
      <c r="C9" s="49"/>
      <c r="D9" s="136"/>
      <c r="E9" s="93"/>
      <c r="F9" s="93"/>
      <c r="G9" s="256"/>
      <c r="H9" s="94"/>
    </row>
    <row r="10" spans="1:11" x14ac:dyDescent="0.3">
      <c r="A10" s="179" t="s">
        <v>311</v>
      </c>
      <c r="B10" s="90" t="s">
        <v>310</v>
      </c>
      <c r="C10" s="49" t="s">
        <v>309</v>
      </c>
      <c r="D10" s="136">
        <v>10000</v>
      </c>
      <c r="E10" s="93"/>
      <c r="F10" s="93"/>
      <c r="G10" s="42">
        <v>10000</v>
      </c>
      <c r="H10" s="75" t="s">
        <v>1120</v>
      </c>
      <c r="J10" s="139"/>
      <c r="K10" s="138"/>
    </row>
    <row r="11" spans="1:11" x14ac:dyDescent="0.3">
      <c r="A11" s="179" t="s">
        <v>339</v>
      </c>
      <c r="B11" s="97" t="s">
        <v>343</v>
      </c>
      <c r="C11" s="188" t="s">
        <v>344</v>
      </c>
      <c r="D11" s="249"/>
      <c r="E11" s="98">
        <v>1240</v>
      </c>
      <c r="F11" s="134"/>
      <c r="G11" s="262">
        <f>G10-E11</f>
        <v>8760</v>
      </c>
      <c r="H11" s="189"/>
      <c r="J11" s="139"/>
      <c r="K11" s="138"/>
    </row>
    <row r="12" spans="1:11" x14ac:dyDescent="0.3">
      <c r="A12" s="179" t="s">
        <v>615</v>
      </c>
      <c r="B12" s="97" t="s">
        <v>621</v>
      </c>
      <c r="C12" s="188" t="s">
        <v>622</v>
      </c>
      <c r="D12" s="249"/>
      <c r="E12" s="98">
        <v>5880</v>
      </c>
      <c r="F12" s="134"/>
      <c r="G12" s="405">
        <f>G11-E12</f>
        <v>2880</v>
      </c>
      <c r="H12" s="189"/>
      <c r="J12" s="139"/>
      <c r="K12" s="138"/>
    </row>
    <row r="13" spans="1:11" x14ac:dyDescent="0.3">
      <c r="A13" s="179"/>
      <c r="B13" s="97"/>
      <c r="C13" s="188"/>
      <c r="D13" s="249">
        <v>-2880</v>
      </c>
      <c r="E13" s="98"/>
      <c r="F13" s="134"/>
      <c r="G13" s="405">
        <f>G12+D13</f>
        <v>0</v>
      </c>
      <c r="H13" s="189"/>
      <c r="J13" s="139"/>
      <c r="K13" s="138"/>
    </row>
    <row r="14" spans="1:11" x14ac:dyDescent="0.3">
      <c r="A14" s="179"/>
      <c r="B14" s="97"/>
      <c r="C14" s="76"/>
      <c r="D14" s="249"/>
      <c r="E14" s="98"/>
      <c r="F14" s="134"/>
      <c r="G14" s="262"/>
      <c r="H14" s="189"/>
      <c r="J14" s="139"/>
      <c r="K14" s="138"/>
    </row>
    <row r="15" spans="1:11" x14ac:dyDescent="0.3">
      <c r="A15" s="179" t="s">
        <v>317</v>
      </c>
      <c r="B15" s="97" t="s">
        <v>318</v>
      </c>
      <c r="C15" s="76" t="s">
        <v>319</v>
      </c>
      <c r="D15" s="249">
        <v>20000</v>
      </c>
      <c r="E15" s="98"/>
      <c r="F15" s="134"/>
      <c r="G15" s="262">
        <v>20000</v>
      </c>
      <c r="H15" s="75" t="s">
        <v>1120</v>
      </c>
      <c r="J15" s="139"/>
      <c r="K15" s="138"/>
    </row>
    <row r="16" spans="1:11" x14ac:dyDescent="0.3">
      <c r="A16" s="179" t="s">
        <v>587</v>
      </c>
      <c r="B16" s="97" t="s">
        <v>588</v>
      </c>
      <c r="C16" s="76" t="s">
        <v>589</v>
      </c>
      <c r="D16" s="249"/>
      <c r="E16" s="98">
        <v>9050</v>
      </c>
      <c r="F16" s="134"/>
      <c r="G16" s="262">
        <f>G15-E16-F16</f>
        <v>10950</v>
      </c>
      <c r="H16" s="189"/>
      <c r="J16" s="139"/>
      <c r="K16" s="138"/>
    </row>
    <row r="17" spans="1:11" x14ac:dyDescent="0.3">
      <c r="A17" s="179" t="s">
        <v>816</v>
      </c>
      <c r="B17" s="97" t="s">
        <v>820</v>
      </c>
      <c r="C17" s="76" t="s">
        <v>819</v>
      </c>
      <c r="D17" s="249"/>
      <c r="E17" s="98">
        <v>4950</v>
      </c>
      <c r="F17" s="134"/>
      <c r="G17" s="262">
        <f>G16-E17-F17</f>
        <v>6000</v>
      </c>
      <c r="H17" s="189"/>
      <c r="J17" s="139"/>
      <c r="K17" s="138"/>
    </row>
    <row r="18" spans="1:11" x14ac:dyDescent="0.3">
      <c r="A18" s="179"/>
      <c r="B18" s="97" t="s">
        <v>821</v>
      </c>
      <c r="C18" s="76" t="s">
        <v>822</v>
      </c>
      <c r="D18" s="249"/>
      <c r="E18" s="98">
        <v>6000</v>
      </c>
      <c r="F18" s="134"/>
      <c r="G18" s="406">
        <f>G17-E18-F18</f>
        <v>0</v>
      </c>
      <c r="H18" s="189"/>
      <c r="J18" s="139"/>
      <c r="K18" s="138"/>
    </row>
    <row r="19" spans="1:11" x14ac:dyDescent="0.3">
      <c r="A19" s="179"/>
      <c r="B19" s="97"/>
      <c r="C19" s="188"/>
      <c r="D19" s="249"/>
      <c r="E19" s="177"/>
      <c r="F19" s="134"/>
      <c r="G19" s="262"/>
      <c r="H19" s="189"/>
      <c r="J19" s="139"/>
      <c r="K19" s="138"/>
    </row>
    <row r="20" spans="1:11" x14ac:dyDescent="0.3">
      <c r="A20" s="179" t="s">
        <v>581</v>
      </c>
      <c r="B20" s="97" t="s">
        <v>582</v>
      </c>
      <c r="C20" s="188" t="s">
        <v>583</v>
      </c>
      <c r="D20" s="249">
        <v>6000</v>
      </c>
      <c r="E20" s="177"/>
      <c r="F20" s="91"/>
      <c r="G20" s="262">
        <v>6000</v>
      </c>
      <c r="H20" s="189" t="s">
        <v>584</v>
      </c>
      <c r="J20" s="139"/>
      <c r="K20" s="138"/>
    </row>
    <row r="21" spans="1:11" x14ac:dyDescent="0.3">
      <c r="A21" s="179" t="s">
        <v>639</v>
      </c>
      <c r="B21" s="97" t="s">
        <v>642</v>
      </c>
      <c r="C21" s="188" t="s">
        <v>643</v>
      </c>
      <c r="D21" s="249"/>
      <c r="E21" s="98">
        <v>3008</v>
      </c>
      <c r="F21" s="91"/>
      <c r="G21" s="405">
        <f>G20-E21</f>
        <v>2992</v>
      </c>
      <c r="H21" s="189"/>
      <c r="J21" s="139"/>
      <c r="K21" s="138"/>
    </row>
    <row r="22" spans="1:11" x14ac:dyDescent="0.3">
      <c r="A22" s="179"/>
      <c r="B22" s="97"/>
      <c r="C22" s="188"/>
      <c r="D22" s="249">
        <v>-2992</v>
      </c>
      <c r="E22" s="98"/>
      <c r="F22" s="91"/>
      <c r="G22" s="405">
        <f>G21+D22</f>
        <v>0</v>
      </c>
      <c r="H22" s="189"/>
      <c r="J22" s="139"/>
      <c r="K22" s="138"/>
    </row>
    <row r="23" spans="1:11" x14ac:dyDescent="0.3">
      <c r="A23" s="179"/>
      <c r="B23" s="97"/>
      <c r="C23" s="188"/>
      <c r="D23" s="249"/>
      <c r="E23" s="177"/>
      <c r="F23" s="134"/>
      <c r="G23" s="262"/>
      <c r="H23" s="189"/>
      <c r="J23" s="139"/>
      <c r="K23" s="138"/>
    </row>
    <row r="24" spans="1:11" x14ac:dyDescent="0.3">
      <c r="A24" s="179" t="s">
        <v>599</v>
      </c>
      <c r="B24" s="97" t="s">
        <v>600</v>
      </c>
      <c r="C24" s="188" t="s">
        <v>601</v>
      </c>
      <c r="D24" s="249">
        <v>18400</v>
      </c>
      <c r="E24" s="177"/>
      <c r="F24" s="134"/>
      <c r="G24" s="262">
        <v>18400</v>
      </c>
      <c r="H24" s="189" t="s">
        <v>598</v>
      </c>
      <c r="J24" s="139"/>
      <c r="K24" s="138"/>
    </row>
    <row r="25" spans="1:11" x14ac:dyDescent="0.3">
      <c r="A25" s="179" t="s">
        <v>632</v>
      </c>
      <c r="B25" s="97" t="s">
        <v>730</v>
      </c>
      <c r="C25" s="188" t="s">
        <v>729</v>
      </c>
      <c r="D25" s="249"/>
      <c r="E25" s="98">
        <v>8400</v>
      </c>
      <c r="F25" s="134"/>
      <c r="G25" s="262">
        <f>G24-E25</f>
        <v>10000</v>
      </c>
      <c r="H25" s="189"/>
      <c r="J25" s="139"/>
      <c r="K25" s="138"/>
    </row>
    <row r="26" spans="1:11" x14ac:dyDescent="0.3">
      <c r="A26" s="179" t="s">
        <v>669</v>
      </c>
      <c r="B26" s="97" t="s">
        <v>674</v>
      </c>
      <c r="C26" s="188" t="s">
        <v>675</v>
      </c>
      <c r="D26" s="249"/>
      <c r="E26" s="98">
        <v>4155</v>
      </c>
      <c r="F26" s="134"/>
      <c r="G26" s="262">
        <f>G25-E26</f>
        <v>5845</v>
      </c>
      <c r="H26" s="189"/>
      <c r="J26" s="139"/>
      <c r="K26" s="138"/>
    </row>
    <row r="27" spans="1:11" x14ac:dyDescent="0.3">
      <c r="A27" s="179"/>
      <c r="B27" s="97" t="s">
        <v>676</v>
      </c>
      <c r="C27" s="188" t="s">
        <v>677</v>
      </c>
      <c r="D27" s="249"/>
      <c r="E27" s="98">
        <v>4245</v>
      </c>
      <c r="F27" s="134"/>
      <c r="G27" s="262">
        <f>G26-E27</f>
        <v>1600</v>
      </c>
      <c r="H27" s="189"/>
      <c r="J27" s="139"/>
      <c r="K27" s="138"/>
    </row>
    <row r="28" spans="1:11" x14ac:dyDescent="0.3">
      <c r="A28" s="179"/>
      <c r="B28" s="97" t="s">
        <v>678</v>
      </c>
      <c r="C28" s="188" t="s">
        <v>330</v>
      </c>
      <c r="D28" s="249"/>
      <c r="E28" s="98">
        <v>1600</v>
      </c>
      <c r="F28" s="134"/>
      <c r="G28" s="406">
        <f>G27-E28</f>
        <v>0</v>
      </c>
      <c r="H28" s="189"/>
      <c r="J28" s="139"/>
      <c r="K28" s="138"/>
    </row>
    <row r="29" spans="1:11" x14ac:dyDescent="0.3">
      <c r="A29" s="179"/>
      <c r="B29" s="97"/>
      <c r="C29" s="188"/>
      <c r="D29" s="249"/>
      <c r="E29" s="98"/>
      <c r="F29" s="134"/>
      <c r="G29" s="262"/>
      <c r="H29" s="189"/>
      <c r="J29" s="139"/>
      <c r="K29" s="138"/>
    </row>
    <row r="30" spans="1:11" x14ac:dyDescent="0.3">
      <c r="A30" s="179" t="s">
        <v>739</v>
      </c>
      <c r="B30" s="97" t="s">
        <v>752</v>
      </c>
      <c r="C30" s="188" t="s">
        <v>753</v>
      </c>
      <c r="D30" s="249">
        <v>5000</v>
      </c>
      <c r="E30" s="98"/>
      <c r="F30" s="134"/>
      <c r="G30" s="262">
        <v>5000</v>
      </c>
      <c r="H30" s="189" t="s">
        <v>649</v>
      </c>
      <c r="J30" s="139"/>
      <c r="K30" s="138"/>
    </row>
    <row r="31" spans="1:11" x14ac:dyDescent="0.3">
      <c r="A31" s="179" t="s">
        <v>948</v>
      </c>
      <c r="B31" s="97" t="s">
        <v>952</v>
      </c>
      <c r="C31" s="188" t="s">
        <v>953</v>
      </c>
      <c r="D31" s="249"/>
      <c r="E31" s="98">
        <v>1400</v>
      </c>
      <c r="F31" s="134"/>
      <c r="G31" s="262">
        <f>G30-E31</f>
        <v>3600</v>
      </c>
      <c r="H31" s="189"/>
      <c r="J31" s="139"/>
      <c r="K31" s="138"/>
    </row>
    <row r="32" spans="1:11" x14ac:dyDescent="0.3">
      <c r="A32" s="179"/>
      <c r="B32" s="97"/>
      <c r="C32" s="188" t="s">
        <v>2280</v>
      </c>
      <c r="D32" s="249"/>
      <c r="E32" s="98">
        <v>2712</v>
      </c>
      <c r="F32" s="134"/>
      <c r="G32" s="405">
        <f>G31-E32-F32</f>
        <v>888</v>
      </c>
      <c r="H32" s="189"/>
      <c r="J32" s="139"/>
      <c r="K32" s="138"/>
    </row>
    <row r="33" spans="1:11" x14ac:dyDescent="0.3">
      <c r="A33" s="179"/>
      <c r="B33" s="97"/>
      <c r="C33" s="188"/>
      <c r="D33" s="249">
        <v>-888</v>
      </c>
      <c r="E33" s="98"/>
      <c r="F33" s="136"/>
      <c r="G33" s="405">
        <f>G32+D33</f>
        <v>0</v>
      </c>
      <c r="H33" s="189"/>
      <c r="J33" s="139"/>
      <c r="K33" s="138"/>
    </row>
    <row r="34" spans="1:11" x14ac:dyDescent="0.3">
      <c r="A34" s="179"/>
      <c r="B34" s="97"/>
      <c r="C34" s="188"/>
      <c r="D34" s="249"/>
      <c r="E34" s="98"/>
      <c r="F34" s="136"/>
      <c r="G34" s="262"/>
      <c r="H34" s="189"/>
      <c r="J34" s="139"/>
      <c r="K34" s="138"/>
    </row>
    <row r="35" spans="1:11" x14ac:dyDescent="0.3">
      <c r="A35" s="179" t="s">
        <v>964</v>
      </c>
      <c r="B35" s="90" t="s">
        <v>966</v>
      </c>
      <c r="C35" s="49" t="s">
        <v>967</v>
      </c>
      <c r="D35" s="136">
        <v>30000</v>
      </c>
      <c r="E35" s="93"/>
      <c r="F35" s="93"/>
      <c r="G35" s="42">
        <v>30000</v>
      </c>
      <c r="H35" s="189" t="s">
        <v>1544</v>
      </c>
      <c r="J35" s="139"/>
      <c r="K35" s="138"/>
    </row>
    <row r="36" spans="1:11" x14ac:dyDescent="0.3">
      <c r="A36" s="179" t="s">
        <v>2137</v>
      </c>
      <c r="B36" s="97" t="s">
        <v>2197</v>
      </c>
      <c r="C36" s="76" t="s">
        <v>2106</v>
      </c>
      <c r="D36" s="136"/>
      <c r="E36" s="93">
        <v>21480</v>
      </c>
      <c r="F36" s="136"/>
      <c r="G36" s="42">
        <f>G35-E36-F36</f>
        <v>8520</v>
      </c>
      <c r="H36" s="189"/>
      <c r="J36" s="139"/>
      <c r="K36" s="138"/>
    </row>
    <row r="37" spans="1:11" x14ac:dyDescent="0.3">
      <c r="A37" s="179"/>
      <c r="B37" s="97"/>
      <c r="C37" s="76"/>
      <c r="D37" s="136">
        <v>-8520</v>
      </c>
      <c r="E37" s="93"/>
      <c r="F37" s="136"/>
      <c r="G37" s="42">
        <f>G36+D37</f>
        <v>0</v>
      </c>
      <c r="H37" s="189"/>
      <c r="J37" s="139"/>
      <c r="K37" s="138"/>
    </row>
    <row r="38" spans="1:11" x14ac:dyDescent="0.3">
      <c r="A38" s="179"/>
      <c r="B38" s="97"/>
      <c r="C38" s="188"/>
      <c r="D38" s="249"/>
      <c r="E38" s="98"/>
      <c r="F38" s="134"/>
      <c r="G38" s="262"/>
      <c r="H38" s="189"/>
      <c r="J38" s="139"/>
      <c r="K38" s="138"/>
    </row>
    <row r="39" spans="1:11" x14ac:dyDescent="0.3">
      <c r="A39" s="179" t="s">
        <v>1327</v>
      </c>
      <c r="B39" s="97" t="s">
        <v>1328</v>
      </c>
      <c r="C39" s="76" t="s">
        <v>1329</v>
      </c>
      <c r="D39" s="249">
        <f>38760-25000</f>
        <v>13760</v>
      </c>
      <c r="E39" s="98"/>
      <c r="F39" s="134"/>
      <c r="G39" s="262">
        <f>D39</f>
        <v>13760</v>
      </c>
      <c r="H39" s="189" t="s">
        <v>1326</v>
      </c>
      <c r="J39" s="139"/>
      <c r="K39" s="138"/>
    </row>
    <row r="40" spans="1:11" x14ac:dyDescent="0.3">
      <c r="A40" s="179" t="s">
        <v>2358</v>
      </c>
      <c r="B40" s="97" t="s">
        <v>2375</v>
      </c>
      <c r="C40" s="76" t="s">
        <v>2314</v>
      </c>
      <c r="D40" s="249"/>
      <c r="E40" s="98">
        <v>1992</v>
      </c>
      <c r="F40" s="134"/>
      <c r="G40" s="262">
        <f>G39-E40-F40</f>
        <v>11768</v>
      </c>
      <c r="H40" s="359" t="s">
        <v>2103</v>
      </c>
      <c r="J40" s="139"/>
      <c r="K40" s="138"/>
    </row>
    <row r="41" spans="1:11" x14ac:dyDescent="0.3">
      <c r="A41" s="179"/>
      <c r="B41" s="97" t="s">
        <v>2376</v>
      </c>
      <c r="C41" s="188" t="s">
        <v>2315</v>
      </c>
      <c r="D41" s="249"/>
      <c r="E41" s="98">
        <v>5280</v>
      </c>
      <c r="F41" s="134"/>
      <c r="G41" s="262">
        <f>G40-E41-F41</f>
        <v>6488</v>
      </c>
      <c r="H41" s="189"/>
      <c r="J41" s="139"/>
      <c r="K41" s="138"/>
    </row>
    <row r="42" spans="1:11" x14ac:dyDescent="0.3">
      <c r="A42" s="179" t="s">
        <v>2480</v>
      </c>
      <c r="B42" s="97" t="s">
        <v>2505</v>
      </c>
      <c r="C42" s="188" t="s">
        <v>675</v>
      </c>
      <c r="D42" s="249"/>
      <c r="E42" s="98">
        <v>1087</v>
      </c>
      <c r="F42" s="134"/>
      <c r="G42" s="262">
        <f>G41-E42-F42</f>
        <v>5401</v>
      </c>
      <c r="H42" s="189"/>
      <c r="J42" s="139"/>
      <c r="K42" s="138"/>
    </row>
    <row r="43" spans="1:11" x14ac:dyDescent="0.3">
      <c r="A43" s="179" t="s">
        <v>2480</v>
      </c>
      <c r="B43" s="97" t="s">
        <v>2481</v>
      </c>
      <c r="C43" s="188" t="s">
        <v>2408</v>
      </c>
      <c r="D43" s="249"/>
      <c r="E43" s="98">
        <v>1512</v>
      </c>
      <c r="F43" s="134"/>
      <c r="G43" s="262">
        <f>G42-E43-F43</f>
        <v>3889</v>
      </c>
      <c r="H43" s="189"/>
      <c r="J43" s="139"/>
      <c r="K43" s="138"/>
    </row>
    <row r="44" spans="1:11" x14ac:dyDescent="0.3">
      <c r="A44" s="179"/>
      <c r="B44" s="97"/>
      <c r="C44" s="188"/>
      <c r="D44" s="249">
        <v>-3889</v>
      </c>
      <c r="E44" s="98"/>
      <c r="F44" s="134"/>
      <c r="G44" s="262">
        <f>G43+D44</f>
        <v>0</v>
      </c>
      <c r="H44" s="189"/>
      <c r="J44" s="139"/>
      <c r="K44" s="138"/>
    </row>
    <row r="45" spans="1:11" x14ac:dyDescent="0.3">
      <c r="A45" s="179"/>
      <c r="B45" s="97"/>
      <c r="C45" s="188"/>
      <c r="D45" s="249"/>
      <c r="E45" s="98"/>
      <c r="F45" s="134"/>
      <c r="G45" s="262"/>
      <c r="H45" s="189"/>
      <c r="J45" s="139"/>
      <c r="K45" s="138"/>
    </row>
    <row r="46" spans="1:11" x14ac:dyDescent="0.3">
      <c r="A46" s="179" t="s">
        <v>2420</v>
      </c>
      <c r="B46" s="97" t="s">
        <v>2428</v>
      </c>
      <c r="C46" s="76" t="s">
        <v>2104</v>
      </c>
      <c r="D46" s="249">
        <v>5000</v>
      </c>
      <c r="E46" s="249">
        <v>5000</v>
      </c>
      <c r="F46" s="249"/>
      <c r="G46" s="262">
        <f>D46-E46-F46</f>
        <v>0</v>
      </c>
      <c r="H46" s="189"/>
      <c r="J46" s="139"/>
      <c r="K46" s="138"/>
    </row>
    <row r="47" spans="1:11" x14ac:dyDescent="0.3">
      <c r="A47" s="179" t="s">
        <v>2517</v>
      </c>
      <c r="B47" s="97" t="s">
        <v>2538</v>
      </c>
      <c r="C47" s="76" t="s">
        <v>125</v>
      </c>
      <c r="D47" s="249">
        <v>5000</v>
      </c>
      <c r="E47" s="249">
        <v>5000</v>
      </c>
      <c r="F47" s="249"/>
      <c r="G47" s="262">
        <f t="shared" ref="G47:G50" si="0">D47-E47-F47</f>
        <v>0</v>
      </c>
      <c r="H47" s="189"/>
      <c r="J47" s="139"/>
      <c r="K47" s="138"/>
    </row>
    <row r="48" spans="1:11" x14ac:dyDescent="0.3">
      <c r="A48" s="179" t="s">
        <v>2420</v>
      </c>
      <c r="B48" s="97" t="s">
        <v>2427</v>
      </c>
      <c r="C48" s="76" t="s">
        <v>1046</v>
      </c>
      <c r="D48" s="249">
        <v>5000</v>
      </c>
      <c r="E48" s="249">
        <v>5000</v>
      </c>
      <c r="F48" s="249"/>
      <c r="G48" s="262">
        <f t="shared" si="0"/>
        <v>0</v>
      </c>
      <c r="H48" s="189"/>
      <c r="J48" s="139"/>
      <c r="K48" s="138"/>
    </row>
    <row r="49" spans="1:11" x14ac:dyDescent="0.3">
      <c r="A49" s="179"/>
      <c r="B49" s="97" t="s">
        <v>2602</v>
      </c>
      <c r="C49" s="76" t="s">
        <v>1923</v>
      </c>
      <c r="D49" s="249">
        <v>5000</v>
      </c>
      <c r="E49" s="249">
        <v>5000</v>
      </c>
      <c r="F49" s="249"/>
      <c r="G49" s="262">
        <f t="shared" si="0"/>
        <v>0</v>
      </c>
      <c r="H49" s="189"/>
      <c r="J49" s="139"/>
      <c r="K49" s="138"/>
    </row>
    <row r="50" spans="1:11" x14ac:dyDescent="0.3">
      <c r="A50" s="179" t="s">
        <v>2723</v>
      </c>
      <c r="B50" s="97" t="s">
        <v>2725</v>
      </c>
      <c r="C50" s="76" t="s">
        <v>46</v>
      </c>
      <c r="D50" s="249">
        <v>5000</v>
      </c>
      <c r="E50" s="249">
        <v>5000</v>
      </c>
      <c r="F50" s="249"/>
      <c r="G50" s="262">
        <f t="shared" si="0"/>
        <v>0</v>
      </c>
      <c r="H50" s="189"/>
      <c r="J50" s="139"/>
      <c r="K50" s="138"/>
    </row>
    <row r="51" spans="1:11" x14ac:dyDescent="0.3">
      <c r="A51" s="179"/>
      <c r="B51" s="97"/>
      <c r="C51" s="188"/>
      <c r="D51" s="249"/>
      <c r="E51" s="98"/>
      <c r="F51" s="134"/>
      <c r="G51" s="262"/>
      <c r="H51" s="189"/>
      <c r="J51" s="139"/>
      <c r="K51" s="138"/>
    </row>
    <row r="52" spans="1:11" x14ac:dyDescent="0.3">
      <c r="A52" s="179"/>
      <c r="B52" s="97"/>
      <c r="C52" s="188"/>
      <c r="D52" s="249"/>
      <c r="E52" s="98"/>
      <c r="F52" s="134"/>
      <c r="G52" s="262"/>
      <c r="H52" s="189"/>
      <c r="J52" s="139"/>
      <c r="K52" s="138"/>
    </row>
    <row r="53" spans="1:11" x14ac:dyDescent="0.3">
      <c r="A53" s="179" t="s">
        <v>1409</v>
      </c>
      <c r="B53" s="97" t="s">
        <v>1118</v>
      </c>
      <c r="C53" s="76" t="s">
        <v>1410</v>
      </c>
      <c r="D53" s="249">
        <v>16100</v>
      </c>
      <c r="E53" s="98"/>
      <c r="F53" s="134"/>
      <c r="G53" s="262">
        <v>16100</v>
      </c>
      <c r="H53" s="189" t="s">
        <v>1117</v>
      </c>
      <c r="J53" s="139"/>
      <c r="K53" s="138"/>
    </row>
    <row r="54" spans="1:11" x14ac:dyDescent="0.3">
      <c r="A54" s="179" t="s">
        <v>2290</v>
      </c>
      <c r="B54" s="97" t="s">
        <v>2291</v>
      </c>
      <c r="C54" s="76" t="s">
        <v>2316</v>
      </c>
      <c r="D54" s="249"/>
      <c r="E54" s="98">
        <v>7890</v>
      </c>
      <c r="F54" s="134"/>
      <c r="G54" s="405">
        <f>G53-E54</f>
        <v>8210</v>
      </c>
      <c r="H54" s="189"/>
      <c r="J54" s="139"/>
      <c r="K54" s="138"/>
    </row>
    <row r="55" spans="1:11" x14ac:dyDescent="0.3">
      <c r="A55" s="179"/>
      <c r="B55" s="97"/>
      <c r="C55" s="76"/>
      <c r="D55" s="249">
        <v>-8210</v>
      </c>
      <c r="E55" s="98"/>
      <c r="F55" s="134"/>
      <c r="G55" s="262">
        <f>G54+D55</f>
        <v>0</v>
      </c>
      <c r="H55" s="189"/>
      <c r="J55" s="139"/>
      <c r="K55" s="138"/>
    </row>
    <row r="56" spans="1:11" x14ac:dyDescent="0.3">
      <c r="A56" s="179"/>
      <c r="B56" s="97"/>
      <c r="C56" s="76"/>
      <c r="D56" s="249"/>
      <c r="E56" s="98"/>
      <c r="F56" s="134"/>
      <c r="G56" s="262"/>
      <c r="H56" s="189"/>
      <c r="J56" s="139"/>
      <c r="K56" s="138"/>
    </row>
    <row r="57" spans="1:11" x14ac:dyDescent="0.3">
      <c r="A57" s="179" t="s">
        <v>1443</v>
      </c>
      <c r="B57" s="97" t="s">
        <v>1444</v>
      </c>
      <c r="C57" s="76" t="s">
        <v>1445</v>
      </c>
      <c r="D57" s="249">
        <v>24000</v>
      </c>
      <c r="E57" s="98"/>
      <c r="F57" s="134"/>
      <c r="G57" s="262">
        <v>24000</v>
      </c>
      <c r="H57" s="189" t="s">
        <v>1247</v>
      </c>
      <c r="J57" s="139"/>
      <c r="K57" s="138"/>
    </row>
    <row r="58" spans="1:11" x14ac:dyDescent="0.3">
      <c r="A58" s="179" t="s">
        <v>1541</v>
      </c>
      <c r="B58" s="97" t="s">
        <v>2021</v>
      </c>
      <c r="C58" s="76" t="s">
        <v>1564</v>
      </c>
      <c r="D58" s="249"/>
      <c r="E58" s="98">
        <v>12000</v>
      </c>
      <c r="F58" s="134"/>
      <c r="G58" s="262">
        <f>G57-E58</f>
        <v>12000</v>
      </c>
      <c r="H58" s="189"/>
      <c r="J58" s="139"/>
      <c r="K58" s="138"/>
    </row>
    <row r="59" spans="1:11" x14ac:dyDescent="0.3">
      <c r="A59" s="179" t="s">
        <v>2318</v>
      </c>
      <c r="B59" s="97" t="s">
        <v>2317</v>
      </c>
      <c r="C59" s="76" t="s">
        <v>2286</v>
      </c>
      <c r="D59" s="249"/>
      <c r="E59" s="98">
        <v>12000</v>
      </c>
      <c r="F59" s="134"/>
      <c r="G59" s="262">
        <f>G58-E59-F59</f>
        <v>0</v>
      </c>
      <c r="H59" s="189"/>
      <c r="J59" s="139"/>
      <c r="K59" s="138"/>
    </row>
    <row r="60" spans="1:11" x14ac:dyDescent="0.3">
      <c r="A60" s="179"/>
      <c r="B60" s="97"/>
      <c r="C60" s="76"/>
      <c r="D60" s="249"/>
      <c r="E60" s="98"/>
      <c r="F60" s="134"/>
      <c r="G60" s="262"/>
      <c r="H60" s="189"/>
      <c r="J60" s="139"/>
      <c r="K60" s="138"/>
    </row>
    <row r="61" spans="1:11" x14ac:dyDescent="0.3">
      <c r="A61" s="179" t="s">
        <v>1535</v>
      </c>
      <c r="B61" s="97" t="s">
        <v>1536</v>
      </c>
      <c r="C61" s="76" t="s">
        <v>1537</v>
      </c>
      <c r="D61" s="249">
        <v>1090</v>
      </c>
      <c r="E61" s="98"/>
      <c r="F61" s="134"/>
      <c r="G61" s="405">
        <v>1090</v>
      </c>
      <c r="H61" s="189" t="s">
        <v>106</v>
      </c>
      <c r="J61" s="139"/>
      <c r="K61" s="138"/>
    </row>
    <row r="62" spans="1:11" x14ac:dyDescent="0.3">
      <c r="A62" s="179"/>
      <c r="B62" s="97"/>
      <c r="C62" s="76"/>
      <c r="D62" s="249">
        <v>-1090</v>
      </c>
      <c r="E62" s="98"/>
      <c r="F62" s="134"/>
      <c r="G62" s="405">
        <f>G61+D62</f>
        <v>0</v>
      </c>
      <c r="H62" s="189"/>
      <c r="J62" s="139"/>
      <c r="K62" s="138"/>
    </row>
    <row r="63" spans="1:11" x14ac:dyDescent="0.3">
      <c r="A63" s="179"/>
      <c r="B63" s="97"/>
      <c r="C63" s="76"/>
      <c r="D63" s="249"/>
      <c r="E63" s="98"/>
      <c r="F63" s="134"/>
      <c r="G63" s="262"/>
      <c r="H63" s="189"/>
      <c r="J63" s="139"/>
      <c r="K63" s="138"/>
    </row>
    <row r="64" spans="1:11" x14ac:dyDescent="0.3">
      <c r="A64" s="179" t="s">
        <v>1541</v>
      </c>
      <c r="B64" s="97" t="s">
        <v>1542</v>
      </c>
      <c r="C64" s="76" t="s">
        <v>1543</v>
      </c>
      <c r="D64" s="249">
        <v>4600</v>
      </c>
      <c r="E64" s="98"/>
      <c r="F64" s="134"/>
      <c r="G64" s="262">
        <v>4600</v>
      </c>
      <c r="H64" s="75" t="s">
        <v>1120</v>
      </c>
      <c r="J64" s="139"/>
      <c r="K64" s="138"/>
    </row>
    <row r="65" spans="1:11" x14ac:dyDescent="0.3">
      <c r="A65" s="179" t="s">
        <v>1693</v>
      </c>
      <c r="B65" s="97" t="s">
        <v>1710</v>
      </c>
      <c r="C65" s="76" t="s">
        <v>344</v>
      </c>
      <c r="D65" s="249"/>
      <c r="E65" s="98">
        <v>3784</v>
      </c>
      <c r="F65" s="134"/>
      <c r="G65" s="405">
        <f>G64-E65</f>
        <v>816</v>
      </c>
      <c r="H65" s="269"/>
      <c r="J65" s="139"/>
      <c r="K65" s="138"/>
    </row>
    <row r="66" spans="1:11" x14ac:dyDescent="0.3">
      <c r="A66" s="179"/>
      <c r="B66" s="97"/>
      <c r="C66" s="76"/>
      <c r="D66" s="249">
        <v>-816</v>
      </c>
      <c r="E66" s="98"/>
      <c r="F66" s="134"/>
      <c r="G66" s="405">
        <f>G65+D66</f>
        <v>0</v>
      </c>
      <c r="H66" s="269"/>
      <c r="J66" s="139"/>
      <c r="K66" s="138"/>
    </row>
    <row r="67" spans="1:11" x14ac:dyDescent="0.3">
      <c r="A67" s="179"/>
      <c r="B67" s="97"/>
      <c r="C67" s="76"/>
      <c r="D67" s="249"/>
      <c r="E67" s="98"/>
      <c r="F67" s="134"/>
      <c r="G67" s="262"/>
      <c r="H67" s="269"/>
      <c r="J67" s="139"/>
      <c r="K67" s="138"/>
    </row>
    <row r="68" spans="1:11" x14ac:dyDescent="0.3">
      <c r="A68" s="179" t="s">
        <v>1625</v>
      </c>
      <c r="B68" s="97" t="s">
        <v>1652</v>
      </c>
      <c r="C68" s="76" t="s">
        <v>1653</v>
      </c>
      <c r="D68" s="249">
        <v>4600</v>
      </c>
      <c r="E68" s="98"/>
      <c r="F68" s="134"/>
      <c r="G68" s="405">
        <v>4600</v>
      </c>
      <c r="H68" s="75" t="s">
        <v>2365</v>
      </c>
      <c r="J68" s="139"/>
      <c r="K68" s="138"/>
    </row>
    <row r="69" spans="1:11" x14ac:dyDescent="0.3">
      <c r="A69" s="179"/>
      <c r="B69" s="97"/>
      <c r="C69" s="76"/>
      <c r="D69" s="249"/>
      <c r="E69" s="98">
        <v>2616</v>
      </c>
      <c r="F69" s="134"/>
      <c r="G69" s="405">
        <f>G68-E69-F69</f>
        <v>1984</v>
      </c>
      <c r="H69" s="269"/>
      <c r="J69" s="139"/>
      <c r="K69" s="138"/>
    </row>
    <row r="70" spans="1:11" x14ac:dyDescent="0.3">
      <c r="A70" s="179"/>
      <c r="B70" s="97"/>
      <c r="C70" s="76"/>
      <c r="D70" s="249">
        <v>-1984</v>
      </c>
      <c r="E70" s="98"/>
      <c r="F70" s="134"/>
      <c r="G70" s="405">
        <f>G69+D70</f>
        <v>0</v>
      </c>
      <c r="H70" s="269"/>
      <c r="J70" s="139"/>
      <c r="K70" s="138"/>
    </row>
    <row r="71" spans="1:11" x14ac:dyDescent="0.3">
      <c r="A71" s="179"/>
      <c r="B71" s="97"/>
      <c r="C71" s="76"/>
      <c r="D71" s="249"/>
      <c r="E71" s="98"/>
      <c r="F71" s="134"/>
      <c r="G71" s="262"/>
      <c r="H71" s="269"/>
      <c r="J71" s="139"/>
      <c r="K71" s="138"/>
    </row>
    <row r="72" spans="1:11" x14ac:dyDescent="0.3">
      <c r="A72" s="179" t="s">
        <v>1839</v>
      </c>
      <c r="B72" s="97" t="s">
        <v>1862</v>
      </c>
      <c r="C72" s="76" t="s">
        <v>1712</v>
      </c>
      <c r="D72" s="249">
        <v>2000</v>
      </c>
      <c r="E72" s="98"/>
      <c r="F72" s="134"/>
      <c r="G72" s="405">
        <v>2000</v>
      </c>
      <c r="H72" s="75" t="s">
        <v>1117</v>
      </c>
      <c r="J72" s="139"/>
      <c r="K72" s="138"/>
    </row>
    <row r="73" spans="1:11" x14ac:dyDescent="0.3">
      <c r="A73" s="179"/>
      <c r="B73" s="97"/>
      <c r="C73" s="76"/>
      <c r="D73" s="249">
        <v>-2000</v>
      </c>
      <c r="E73" s="98"/>
      <c r="F73" s="134"/>
      <c r="G73" s="405">
        <f>G72+D73</f>
        <v>0</v>
      </c>
      <c r="H73" s="269"/>
      <c r="J73" s="139"/>
      <c r="K73" s="138"/>
    </row>
    <row r="74" spans="1:11" x14ac:dyDescent="0.3">
      <c r="A74" s="179"/>
      <c r="B74" s="97"/>
      <c r="C74" s="76"/>
      <c r="D74" s="249"/>
      <c r="E74" s="98"/>
      <c r="F74" s="134"/>
      <c r="G74" s="262"/>
      <c r="H74" s="269"/>
      <c r="J74" s="139"/>
      <c r="K74" s="138"/>
    </row>
    <row r="75" spans="1:11" x14ac:dyDescent="0.3">
      <c r="A75" s="179" t="s">
        <v>1863</v>
      </c>
      <c r="B75" s="97" t="s">
        <v>1864</v>
      </c>
      <c r="C75" s="76" t="s">
        <v>1865</v>
      </c>
      <c r="D75" s="249">
        <v>3000</v>
      </c>
      <c r="E75" s="98"/>
      <c r="F75" s="134"/>
      <c r="G75" s="262">
        <v>3000</v>
      </c>
      <c r="H75" s="75" t="s">
        <v>18</v>
      </c>
      <c r="J75" s="139"/>
      <c r="K75" s="138"/>
    </row>
    <row r="76" spans="1:11" x14ac:dyDescent="0.3">
      <c r="A76" s="179" t="s">
        <v>1950</v>
      </c>
      <c r="B76" s="97" t="s">
        <v>1951</v>
      </c>
      <c r="C76" s="76" t="s">
        <v>1032</v>
      </c>
      <c r="D76" s="249"/>
      <c r="E76" s="98">
        <v>2192</v>
      </c>
      <c r="F76" s="134"/>
      <c r="G76" s="405">
        <f>G75-E76</f>
        <v>808</v>
      </c>
      <c r="H76" s="269"/>
      <c r="J76" s="139"/>
      <c r="K76" s="138"/>
    </row>
    <row r="77" spans="1:11" x14ac:dyDescent="0.3">
      <c r="A77" s="179"/>
      <c r="B77" s="97"/>
      <c r="C77" s="76"/>
      <c r="D77" s="249">
        <v>-808</v>
      </c>
      <c r="E77" s="98"/>
      <c r="F77" s="134"/>
      <c r="G77" s="405">
        <f>G76+D77</f>
        <v>0</v>
      </c>
      <c r="H77" s="269"/>
      <c r="J77" s="139"/>
      <c r="K77" s="138"/>
    </row>
    <row r="78" spans="1:11" x14ac:dyDescent="0.3">
      <c r="A78" s="179"/>
      <c r="B78" s="97"/>
      <c r="C78" s="76"/>
      <c r="D78" s="249"/>
      <c r="E78" s="98"/>
      <c r="F78" s="134"/>
      <c r="G78" s="262"/>
      <c r="H78" s="269"/>
      <c r="J78" s="139"/>
      <c r="K78" s="138"/>
    </row>
    <row r="79" spans="1:11" x14ac:dyDescent="0.3">
      <c r="A79" s="179" t="s">
        <v>1989</v>
      </c>
      <c r="B79" s="97" t="s">
        <v>1993</v>
      </c>
      <c r="C79" s="76" t="s">
        <v>1992</v>
      </c>
      <c r="D79" s="249">
        <v>8000</v>
      </c>
      <c r="E79" s="98"/>
      <c r="F79" s="134"/>
      <c r="G79" s="262">
        <v>8000</v>
      </c>
      <c r="H79" s="75" t="s">
        <v>1120</v>
      </c>
      <c r="J79" s="139"/>
      <c r="K79" s="138"/>
    </row>
    <row r="80" spans="1:11" x14ac:dyDescent="0.3">
      <c r="A80" s="179"/>
      <c r="B80" s="97"/>
      <c r="C80" s="76"/>
      <c r="D80" s="249">
        <v>-8000</v>
      </c>
      <c r="E80" s="98"/>
      <c r="F80" s="134"/>
      <c r="G80" s="262">
        <f>G79+D80</f>
        <v>0</v>
      </c>
      <c r="H80" s="269"/>
      <c r="J80" s="139"/>
      <c r="K80" s="138"/>
    </row>
    <row r="81" spans="1:11" x14ac:dyDescent="0.3">
      <c r="A81" s="179"/>
      <c r="B81" s="97"/>
      <c r="C81" s="76"/>
      <c r="D81" s="249"/>
      <c r="E81" s="98"/>
      <c r="F81" s="134"/>
      <c r="G81" s="262"/>
      <c r="H81" s="269"/>
      <c r="J81" s="139"/>
      <c r="K81" s="138"/>
    </row>
    <row r="82" spans="1:11" x14ac:dyDescent="0.3">
      <c r="A82" s="179" t="s">
        <v>1989</v>
      </c>
      <c r="B82" s="97" t="s">
        <v>1996</v>
      </c>
      <c r="C82" s="76" t="s">
        <v>1995</v>
      </c>
      <c r="D82" s="249">
        <v>5000</v>
      </c>
      <c r="E82" s="98"/>
      <c r="F82" s="134"/>
      <c r="G82" s="262">
        <v>5000</v>
      </c>
      <c r="H82" s="269" t="s">
        <v>1994</v>
      </c>
      <c r="J82" s="139"/>
      <c r="K82" s="138"/>
    </row>
    <row r="83" spans="1:11" x14ac:dyDescent="0.3">
      <c r="A83" s="179" t="s">
        <v>2540</v>
      </c>
      <c r="B83" s="97" t="s">
        <v>2566</v>
      </c>
      <c r="C83" s="76" t="s">
        <v>2384</v>
      </c>
      <c r="D83" s="249"/>
      <c r="E83" s="98">
        <v>2560</v>
      </c>
      <c r="F83" s="134"/>
      <c r="G83" s="262">
        <f>G82-E83-F83</f>
        <v>2440</v>
      </c>
      <c r="H83" s="269"/>
      <c r="J83" s="139"/>
      <c r="K83" s="138"/>
    </row>
    <row r="84" spans="1:11" x14ac:dyDescent="0.3">
      <c r="A84" s="179"/>
      <c r="B84" s="97"/>
      <c r="C84" s="76"/>
      <c r="D84" s="249">
        <v>-2440</v>
      </c>
      <c r="E84" s="98"/>
      <c r="F84" s="134"/>
      <c r="G84" s="262">
        <f>G83+D84</f>
        <v>0</v>
      </c>
      <c r="H84" s="269"/>
      <c r="J84" s="139"/>
      <c r="K84" s="138"/>
    </row>
    <row r="85" spans="1:11" x14ac:dyDescent="0.3">
      <c r="A85" s="179"/>
      <c r="B85" s="97"/>
      <c r="C85" s="76"/>
      <c r="D85" s="249"/>
      <c r="E85" s="98"/>
      <c r="F85" s="134"/>
      <c r="G85" s="262"/>
      <c r="H85" s="269"/>
      <c r="J85" s="139"/>
      <c r="K85" s="138"/>
    </row>
    <row r="86" spans="1:11" x14ac:dyDescent="0.3">
      <c r="A86" s="179" t="s">
        <v>2083</v>
      </c>
      <c r="B86" s="97" t="s">
        <v>2160</v>
      </c>
      <c r="C86" s="76" t="s">
        <v>2345</v>
      </c>
      <c r="D86" s="249">
        <v>30000</v>
      </c>
      <c r="E86" s="98"/>
      <c r="F86" s="134"/>
      <c r="G86" s="262">
        <v>30000</v>
      </c>
      <c r="H86" s="269" t="s">
        <v>23</v>
      </c>
      <c r="J86" s="139"/>
      <c r="K86" s="138"/>
    </row>
    <row r="87" spans="1:11" x14ac:dyDescent="0.3">
      <c r="A87" s="179" t="s">
        <v>2741</v>
      </c>
      <c r="B87" s="97" t="s">
        <v>2777</v>
      </c>
      <c r="C87" s="76" t="s">
        <v>2778</v>
      </c>
      <c r="D87" s="249"/>
      <c r="E87" s="98">
        <v>19995</v>
      </c>
      <c r="F87" s="134"/>
      <c r="G87" s="262">
        <f>G86-E87-F87</f>
        <v>10005</v>
      </c>
      <c r="H87" s="269"/>
      <c r="J87" s="139"/>
      <c r="K87" s="138"/>
    </row>
    <row r="88" spans="1:11" x14ac:dyDescent="0.3">
      <c r="A88" s="179" t="s">
        <v>2799</v>
      </c>
      <c r="B88" s="97" t="s">
        <v>2886</v>
      </c>
      <c r="C88" s="76" t="s">
        <v>675</v>
      </c>
      <c r="D88" s="249"/>
      <c r="E88" s="98">
        <v>7705</v>
      </c>
      <c r="F88" s="134"/>
      <c r="G88" s="262">
        <f>G87-E88-F88</f>
        <v>2300</v>
      </c>
      <c r="H88" s="269"/>
      <c r="J88" s="139"/>
      <c r="K88" s="138"/>
    </row>
    <row r="89" spans="1:11" x14ac:dyDescent="0.3">
      <c r="A89" s="179" t="s">
        <v>2867</v>
      </c>
      <c r="B89" s="97" t="s">
        <v>2885</v>
      </c>
      <c r="C89" s="76" t="s">
        <v>677</v>
      </c>
      <c r="D89" s="249"/>
      <c r="E89" s="98">
        <v>2300</v>
      </c>
      <c r="F89" s="134"/>
      <c r="G89" s="262">
        <f>G88-E89-F89</f>
        <v>0</v>
      </c>
      <c r="H89" s="269"/>
      <c r="J89" s="139"/>
      <c r="K89" s="138"/>
    </row>
    <row r="90" spans="1:11" x14ac:dyDescent="0.3">
      <c r="A90" s="179" t="s">
        <v>2136</v>
      </c>
      <c r="B90" s="97" t="s">
        <v>2295</v>
      </c>
      <c r="C90" s="76" t="s">
        <v>2296</v>
      </c>
      <c r="D90" s="249">
        <v>101800</v>
      </c>
      <c r="E90" s="98"/>
      <c r="F90" s="134"/>
      <c r="G90" s="262">
        <v>101800</v>
      </c>
      <c r="H90" s="269" t="s">
        <v>37</v>
      </c>
      <c r="J90" s="139"/>
      <c r="K90" s="138"/>
    </row>
    <row r="91" spans="1:11" x14ac:dyDescent="0.3">
      <c r="A91" s="179"/>
      <c r="B91" s="97"/>
      <c r="C91" s="76"/>
      <c r="D91" s="249"/>
      <c r="E91" s="98"/>
      <c r="F91" s="134"/>
      <c r="G91" s="262"/>
      <c r="H91" s="269"/>
      <c r="J91" s="139"/>
      <c r="K91" s="138"/>
    </row>
    <row r="92" spans="1:11" x14ac:dyDescent="0.3">
      <c r="A92" s="179"/>
      <c r="B92" s="97"/>
      <c r="C92" s="76"/>
      <c r="D92" s="249"/>
      <c r="E92" s="98"/>
      <c r="F92" s="134"/>
      <c r="G92" s="262"/>
      <c r="H92" s="269"/>
      <c r="J92" s="139"/>
      <c r="K92" s="138"/>
    </row>
    <row r="93" spans="1:11" x14ac:dyDescent="0.3">
      <c r="A93" s="179"/>
      <c r="B93" s="97"/>
      <c r="C93" s="187"/>
      <c r="D93" s="134"/>
      <c r="E93" s="91"/>
      <c r="F93" s="91"/>
      <c r="G93" s="262"/>
      <c r="H93" s="150"/>
      <c r="J93" s="139"/>
      <c r="K93" s="138"/>
    </row>
    <row r="94" spans="1:11" ht="19.5" thickBot="1" x14ac:dyDescent="0.35">
      <c r="A94" s="108"/>
      <c r="B94" s="143"/>
      <c r="C94" s="131" t="s">
        <v>107</v>
      </c>
      <c r="D94" s="170">
        <f>SUM(D6:D93)</f>
        <v>285031</v>
      </c>
      <c r="E94" s="170">
        <f>SUM(E6:E93)</f>
        <v>183231</v>
      </c>
      <c r="F94" s="170">
        <f>SUM(F6:F93)</f>
        <v>0</v>
      </c>
      <c r="G94" s="277">
        <f>D94-E94-F94</f>
        <v>101800</v>
      </c>
      <c r="H94" s="94"/>
      <c r="J94" s="139"/>
      <c r="K94" s="138"/>
    </row>
    <row r="95" spans="1:11" ht="19.5" thickTop="1" x14ac:dyDescent="0.3">
      <c r="D95" s="369"/>
      <c r="F95" s="176"/>
      <c r="G95" s="263"/>
      <c r="I95" s="155"/>
      <c r="J95" s="139"/>
      <c r="K95" s="138"/>
    </row>
    <row r="96" spans="1:11" x14ac:dyDescent="0.3">
      <c r="D96" s="369"/>
      <c r="E96" s="132"/>
      <c r="F96" s="164"/>
      <c r="G96" s="8"/>
      <c r="I96" s="155"/>
    </row>
    <row r="97" spans="2:14" x14ac:dyDescent="0.3">
      <c r="D97" s="369"/>
      <c r="E97" s="132"/>
      <c r="G97" s="8"/>
      <c r="I97" s="132"/>
      <c r="L97" s="132"/>
    </row>
    <row r="98" spans="2:14" x14ac:dyDescent="0.3">
      <c r="C98" s="164"/>
      <c r="E98" s="132"/>
      <c r="G98" s="50"/>
      <c r="L98" s="132"/>
    </row>
    <row r="99" spans="2:14" x14ac:dyDescent="0.3">
      <c r="C99" s="164"/>
      <c r="E99" s="164"/>
      <c r="G99" s="50"/>
      <c r="L99" s="164"/>
      <c r="N99" s="164"/>
    </row>
    <row r="100" spans="2:14" x14ac:dyDescent="0.3">
      <c r="E100" s="139"/>
      <c r="F100" s="132"/>
      <c r="G100" s="50"/>
      <c r="L100" s="132"/>
      <c r="M100" s="132"/>
      <c r="N100" s="164"/>
    </row>
    <row r="101" spans="2:14" x14ac:dyDescent="0.3">
      <c r="B101" s="138"/>
      <c r="C101" s="146"/>
      <c r="D101" s="370"/>
      <c r="E101" s="172"/>
      <c r="G101" s="50"/>
      <c r="N101" s="173"/>
    </row>
    <row r="102" spans="2:14" x14ac:dyDescent="0.3">
      <c r="B102" s="138"/>
      <c r="C102" s="138"/>
      <c r="D102" s="371"/>
      <c r="E102" s="139"/>
    </row>
    <row r="103" spans="2:14" x14ac:dyDescent="0.3">
      <c r="B103" s="138"/>
      <c r="C103" s="138"/>
      <c r="D103" s="371"/>
      <c r="E103" s="139"/>
      <c r="G103" s="8"/>
      <c r="N103" s="132"/>
    </row>
    <row r="104" spans="2:14" x14ac:dyDescent="0.3">
      <c r="B104" s="138"/>
      <c r="C104" s="138"/>
      <c r="D104" s="371"/>
      <c r="E104" s="139"/>
      <c r="G104" s="8"/>
    </row>
    <row r="105" spans="2:14" x14ac:dyDescent="0.3">
      <c r="B105" s="138"/>
      <c r="C105" s="138"/>
      <c r="D105" s="372"/>
      <c r="E105" s="146"/>
    </row>
    <row r="106" spans="2:14" x14ac:dyDescent="0.3">
      <c r="B106" s="138"/>
      <c r="C106" s="138"/>
      <c r="D106" s="372"/>
      <c r="E106" s="139"/>
    </row>
    <row r="107" spans="2:14" x14ac:dyDescent="0.3">
      <c r="B107" s="138"/>
      <c r="C107" s="138"/>
      <c r="D107" s="372"/>
      <c r="E107" s="146"/>
    </row>
  </sheetData>
  <mergeCells count="2">
    <mergeCell ref="A1:H1"/>
    <mergeCell ref="A2:H2"/>
  </mergeCells>
  <pageMargins left="0.27" right="0.15" top="0.27" bottom="0.15748031496062992" header="0.15748031496062992" footer="0.15748031496062992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opLeftCell="A91" workbookViewId="0">
      <selection activeCell="H117" sqref="H117"/>
    </sheetView>
  </sheetViews>
  <sheetFormatPr defaultRowHeight="17.25" x14ac:dyDescent="0.3"/>
  <cols>
    <col min="1" max="1" width="8.140625" style="23" customWidth="1"/>
    <col min="2" max="2" width="7.85546875" style="78" bestFit="1" customWidth="1"/>
    <col min="3" max="3" width="32" style="78" customWidth="1"/>
    <col min="4" max="4" width="10.7109375" style="78" customWidth="1"/>
    <col min="5" max="5" width="10.28515625" style="78" customWidth="1"/>
    <col min="6" max="6" width="9.5703125" style="78" customWidth="1"/>
    <col min="7" max="7" width="11" style="78" customWidth="1"/>
    <col min="8" max="8" width="11.42578125" style="78" customWidth="1"/>
    <col min="9" max="9" width="11" style="78" customWidth="1"/>
    <col min="10" max="16384" width="9.140625" style="78"/>
  </cols>
  <sheetData>
    <row r="1" spans="1:8" x14ac:dyDescent="0.3">
      <c r="A1" s="453" t="s">
        <v>209</v>
      </c>
      <c r="B1" s="453"/>
      <c r="C1" s="453"/>
      <c r="D1" s="453"/>
      <c r="E1" s="453"/>
      <c r="F1" s="453"/>
      <c r="G1" s="453"/>
      <c r="H1" s="453"/>
    </row>
    <row r="2" spans="1:8" x14ac:dyDescent="0.3">
      <c r="A2" s="453" t="s">
        <v>2490</v>
      </c>
      <c r="B2" s="453"/>
      <c r="C2" s="453"/>
      <c r="D2" s="453"/>
      <c r="E2" s="453"/>
      <c r="F2" s="453"/>
      <c r="G2" s="453"/>
      <c r="H2" s="453"/>
    </row>
    <row r="3" spans="1:8" x14ac:dyDescent="0.3">
      <c r="A3" s="101" t="s">
        <v>127</v>
      </c>
      <c r="B3" s="77"/>
      <c r="C3" s="77"/>
      <c r="D3" s="77"/>
      <c r="E3" s="151"/>
      <c r="F3" s="77"/>
      <c r="G3" s="169" t="s">
        <v>5</v>
      </c>
      <c r="H3" s="169" t="s">
        <v>208</v>
      </c>
    </row>
    <row r="4" spans="1:8" x14ac:dyDescent="0.3">
      <c r="A4" s="178" t="s">
        <v>16</v>
      </c>
      <c r="B4" s="156" t="s">
        <v>12</v>
      </c>
      <c r="C4" s="81" t="s">
        <v>4</v>
      </c>
      <c r="D4" s="83" t="s">
        <v>15</v>
      </c>
      <c r="E4" s="83" t="s">
        <v>1</v>
      </c>
      <c r="F4" s="82" t="s">
        <v>34</v>
      </c>
      <c r="G4" s="83" t="s">
        <v>2</v>
      </c>
      <c r="H4" s="81" t="s">
        <v>3</v>
      </c>
    </row>
    <row r="5" spans="1:8" x14ac:dyDescent="0.3">
      <c r="A5" s="105"/>
      <c r="B5" s="84"/>
      <c r="C5" s="85"/>
      <c r="D5" s="87" t="s">
        <v>0</v>
      </c>
      <c r="E5" s="87"/>
      <c r="F5" s="86" t="s">
        <v>35</v>
      </c>
      <c r="G5" s="87"/>
      <c r="H5" s="158"/>
    </row>
    <row r="6" spans="1:8" x14ac:dyDescent="0.3">
      <c r="A6" s="179" t="s">
        <v>210</v>
      </c>
      <c r="B6" s="90" t="s">
        <v>211</v>
      </c>
      <c r="C6" s="49" t="s">
        <v>212</v>
      </c>
      <c r="D6" s="98">
        <v>4880</v>
      </c>
      <c r="E6" s="98"/>
      <c r="F6" s="93"/>
      <c r="G6" s="401">
        <f>D6</f>
        <v>4880</v>
      </c>
      <c r="H6" s="75" t="s">
        <v>2488</v>
      </c>
    </row>
    <row r="7" spans="1:8" x14ac:dyDescent="0.3">
      <c r="A7" s="179"/>
      <c r="B7" s="90"/>
      <c r="C7" s="188" t="s">
        <v>2487</v>
      </c>
      <c r="D7" s="407">
        <v>-4880</v>
      </c>
      <c r="E7" s="98"/>
      <c r="F7" s="93"/>
      <c r="G7" s="401">
        <f>G6+D7</f>
        <v>0</v>
      </c>
      <c r="H7" s="75" t="s">
        <v>2489</v>
      </c>
    </row>
    <row r="8" spans="1:8" x14ac:dyDescent="0.3">
      <c r="A8" s="179"/>
      <c r="B8" s="90"/>
      <c r="C8" s="49"/>
      <c r="D8" s="98"/>
      <c r="E8" s="98"/>
      <c r="F8" s="93"/>
      <c r="G8" s="92"/>
      <c r="H8" s="94"/>
    </row>
    <row r="9" spans="1:8" x14ac:dyDescent="0.3">
      <c r="A9" s="179" t="s">
        <v>742</v>
      </c>
      <c r="B9" s="90" t="s">
        <v>745</v>
      </c>
      <c r="C9" s="49" t="s">
        <v>746</v>
      </c>
      <c r="D9" s="98">
        <v>8400</v>
      </c>
      <c r="E9" s="98"/>
      <c r="F9" s="93"/>
      <c r="G9" s="211">
        <v>8400</v>
      </c>
      <c r="H9" s="75" t="s">
        <v>649</v>
      </c>
    </row>
    <row r="10" spans="1:8" x14ac:dyDescent="0.3">
      <c r="A10" s="179" t="s">
        <v>1315</v>
      </c>
      <c r="B10" s="97" t="s">
        <v>1353</v>
      </c>
      <c r="C10" s="188" t="s">
        <v>1354</v>
      </c>
      <c r="D10" s="98"/>
      <c r="E10" s="98">
        <v>2568</v>
      </c>
      <c r="F10" s="134"/>
      <c r="G10" s="135">
        <f>G9-E10</f>
        <v>5832</v>
      </c>
      <c r="H10" s="189"/>
    </row>
    <row r="11" spans="1:8" x14ac:dyDescent="0.3">
      <c r="A11" s="179" t="s">
        <v>1408</v>
      </c>
      <c r="B11" s="97" t="s">
        <v>1411</v>
      </c>
      <c r="C11" s="188" t="s">
        <v>1412</v>
      </c>
      <c r="D11" s="98"/>
      <c r="E11" s="98">
        <v>1094</v>
      </c>
      <c r="F11" s="134"/>
      <c r="G11" s="387">
        <f>G10-E11</f>
        <v>4738</v>
      </c>
      <c r="H11" s="189"/>
    </row>
    <row r="12" spans="1:8" x14ac:dyDescent="0.3">
      <c r="A12" s="179"/>
      <c r="B12" s="97"/>
      <c r="C12" s="188" t="s">
        <v>2487</v>
      </c>
      <c r="D12" s="407">
        <v>-4738</v>
      </c>
      <c r="E12" s="98"/>
      <c r="F12" s="134"/>
      <c r="G12" s="387">
        <f>G11+D12</f>
        <v>0</v>
      </c>
      <c r="H12" s="189"/>
    </row>
    <row r="13" spans="1:8" x14ac:dyDescent="0.3">
      <c r="A13" s="179"/>
      <c r="B13" s="97"/>
      <c r="C13" s="76"/>
      <c r="D13" s="98"/>
      <c r="E13" s="98"/>
      <c r="F13" s="134"/>
      <c r="G13" s="135"/>
      <c r="H13" s="189"/>
    </row>
    <row r="14" spans="1:8" x14ac:dyDescent="0.3">
      <c r="A14" s="179" t="s">
        <v>766</v>
      </c>
      <c r="B14" s="97" t="s">
        <v>767</v>
      </c>
      <c r="C14" s="76" t="s">
        <v>1155</v>
      </c>
      <c r="D14" s="98">
        <v>139504</v>
      </c>
      <c r="E14" s="98"/>
      <c r="F14" s="134"/>
      <c r="G14" s="135">
        <f>D14</f>
        <v>139504</v>
      </c>
      <c r="H14" s="189" t="s">
        <v>24</v>
      </c>
    </row>
    <row r="15" spans="1:8" x14ac:dyDescent="0.3">
      <c r="A15" s="179" t="s">
        <v>832</v>
      </c>
      <c r="B15" s="97" t="s">
        <v>838</v>
      </c>
      <c r="C15" s="76" t="s">
        <v>837</v>
      </c>
      <c r="D15" s="98"/>
      <c r="E15" s="249">
        <v>22850</v>
      </c>
      <c r="F15" s="134"/>
      <c r="G15" s="135">
        <f t="shared" ref="G15:G21" si="0">G14-E15</f>
        <v>116654</v>
      </c>
      <c r="H15" s="189"/>
    </row>
    <row r="16" spans="1:8" x14ac:dyDescent="0.3">
      <c r="A16" s="179" t="s">
        <v>984</v>
      </c>
      <c r="B16" s="97" t="s">
        <v>985</v>
      </c>
      <c r="C16" s="76" t="s">
        <v>837</v>
      </c>
      <c r="D16" s="98"/>
      <c r="E16" s="249">
        <v>15170</v>
      </c>
      <c r="F16" s="134"/>
      <c r="G16" s="135">
        <f t="shared" si="0"/>
        <v>101484</v>
      </c>
      <c r="H16" s="189"/>
    </row>
    <row r="17" spans="1:8" x14ac:dyDescent="0.3">
      <c r="A17" s="179" t="s">
        <v>988</v>
      </c>
      <c r="B17" s="97" t="s">
        <v>997</v>
      </c>
      <c r="C17" s="76" t="s">
        <v>636</v>
      </c>
      <c r="D17" s="98"/>
      <c r="E17" s="249">
        <v>1232</v>
      </c>
      <c r="F17" s="134"/>
      <c r="G17" s="135">
        <f t="shared" si="0"/>
        <v>100252</v>
      </c>
      <c r="H17" s="189"/>
    </row>
    <row r="18" spans="1:8" x14ac:dyDescent="0.3">
      <c r="A18" s="179" t="s">
        <v>1019</v>
      </c>
      <c r="B18" s="97" t="s">
        <v>1022</v>
      </c>
      <c r="C18" s="76" t="s">
        <v>675</v>
      </c>
      <c r="D18" s="98"/>
      <c r="E18" s="249">
        <v>4505</v>
      </c>
      <c r="F18" s="134"/>
      <c r="G18" s="135">
        <f t="shared" si="0"/>
        <v>95747</v>
      </c>
      <c r="H18" s="189"/>
    </row>
    <row r="19" spans="1:8" x14ac:dyDescent="0.3">
      <c r="A19" s="179" t="s">
        <v>1315</v>
      </c>
      <c r="B19" s="97" t="s">
        <v>1350</v>
      </c>
      <c r="C19" s="76" t="s">
        <v>1349</v>
      </c>
      <c r="D19" s="98"/>
      <c r="E19" s="249">
        <v>13920</v>
      </c>
      <c r="F19" s="134"/>
      <c r="G19" s="135">
        <f t="shared" si="0"/>
        <v>81827</v>
      </c>
      <c r="H19" s="189"/>
    </row>
    <row r="20" spans="1:8" x14ac:dyDescent="0.3">
      <c r="A20" s="179"/>
      <c r="B20" s="97"/>
      <c r="C20" s="76" t="s">
        <v>1451</v>
      </c>
      <c r="D20" s="98"/>
      <c r="E20" s="249">
        <v>-215</v>
      </c>
      <c r="F20" s="134"/>
      <c r="G20" s="135">
        <f t="shared" si="0"/>
        <v>82042</v>
      </c>
      <c r="H20" s="189"/>
    </row>
    <row r="21" spans="1:8" x14ac:dyDescent="0.3">
      <c r="A21" s="179" t="s">
        <v>1485</v>
      </c>
      <c r="B21" s="97" t="s">
        <v>1486</v>
      </c>
      <c r="C21" s="76" t="s">
        <v>837</v>
      </c>
      <c r="D21" s="98"/>
      <c r="E21" s="249">
        <v>5200</v>
      </c>
      <c r="F21" s="134"/>
      <c r="G21" s="387">
        <f t="shared" si="0"/>
        <v>76842</v>
      </c>
      <c r="H21" s="189"/>
    </row>
    <row r="22" spans="1:8" x14ac:dyDescent="0.3">
      <c r="A22" s="179"/>
      <c r="B22" s="97"/>
      <c r="C22" s="188" t="s">
        <v>2487</v>
      </c>
      <c r="D22" s="407">
        <v>-76842</v>
      </c>
      <c r="E22" s="249"/>
      <c r="F22" s="134"/>
      <c r="G22" s="387">
        <f>G21+D22</f>
        <v>0</v>
      </c>
      <c r="H22" s="189"/>
    </row>
    <row r="23" spans="1:8" x14ac:dyDescent="0.3">
      <c r="A23" s="179"/>
      <c r="B23" s="97"/>
      <c r="C23" s="76"/>
      <c r="D23" s="98"/>
      <c r="E23" s="249"/>
      <c r="F23" s="134"/>
      <c r="G23" s="135"/>
      <c r="H23" s="189"/>
    </row>
    <row r="24" spans="1:8" x14ac:dyDescent="0.3">
      <c r="A24" s="179" t="s">
        <v>766</v>
      </c>
      <c r="B24" s="97" t="s">
        <v>767</v>
      </c>
      <c r="C24" s="76" t="s">
        <v>1156</v>
      </c>
      <c r="D24" s="98">
        <v>154904</v>
      </c>
      <c r="E24" s="249"/>
      <c r="F24" s="134"/>
      <c r="G24" s="135">
        <f>D24</f>
        <v>154904</v>
      </c>
      <c r="H24" s="189" t="s">
        <v>768</v>
      </c>
    </row>
    <row r="25" spans="1:8" x14ac:dyDescent="0.3">
      <c r="A25" s="179" t="s">
        <v>1492</v>
      </c>
      <c r="B25" s="97" t="s">
        <v>1493</v>
      </c>
      <c r="C25" s="76" t="s">
        <v>577</v>
      </c>
      <c r="D25" s="98"/>
      <c r="E25" s="249">
        <v>11100</v>
      </c>
      <c r="F25" s="134"/>
      <c r="G25" s="135">
        <f>G24-E25</f>
        <v>143804</v>
      </c>
      <c r="H25" s="189"/>
    </row>
    <row r="26" spans="1:8" x14ac:dyDescent="0.3">
      <c r="A26" s="179" t="s">
        <v>1743</v>
      </c>
      <c r="B26" s="97" t="s">
        <v>1820</v>
      </c>
      <c r="C26" s="76" t="s">
        <v>1821</v>
      </c>
      <c r="D26" s="98"/>
      <c r="E26" s="249">
        <v>1640</v>
      </c>
      <c r="F26" s="134"/>
      <c r="G26" s="135">
        <f>G25-E26</f>
        <v>142164</v>
      </c>
      <c r="H26" s="189"/>
    </row>
    <row r="27" spans="1:8" x14ac:dyDescent="0.3">
      <c r="A27" s="179" t="s">
        <v>2221</v>
      </c>
      <c r="B27" s="97" t="s">
        <v>2237</v>
      </c>
      <c r="C27" s="76" t="s">
        <v>675</v>
      </c>
      <c r="D27" s="98"/>
      <c r="E27" s="249">
        <v>5740</v>
      </c>
      <c r="F27" s="134"/>
      <c r="G27" s="135">
        <f>G26-E27</f>
        <v>136424</v>
      </c>
      <c r="H27" s="189"/>
    </row>
    <row r="28" spans="1:8" x14ac:dyDescent="0.3">
      <c r="A28" s="179"/>
      <c r="B28" s="97"/>
      <c r="C28" s="76" t="s">
        <v>2293</v>
      </c>
      <c r="D28" s="98"/>
      <c r="E28" s="249"/>
      <c r="F28" s="134"/>
      <c r="G28" s="135">
        <f>G27-E28-F28</f>
        <v>136424</v>
      </c>
      <c r="H28" s="189" t="s">
        <v>2547</v>
      </c>
    </row>
    <row r="29" spans="1:8" x14ac:dyDescent="0.3">
      <c r="A29" s="179" t="s">
        <v>2480</v>
      </c>
      <c r="B29" s="97" t="s">
        <v>2515</v>
      </c>
      <c r="C29" s="76" t="s">
        <v>2514</v>
      </c>
      <c r="D29" s="98"/>
      <c r="E29" s="249">
        <v>1208</v>
      </c>
      <c r="F29" s="134"/>
      <c r="G29" s="135">
        <f t="shared" ref="G29:G30" si="1">G28-E29-F29</f>
        <v>135216</v>
      </c>
      <c r="H29" s="189"/>
    </row>
    <row r="30" spans="1:8" x14ac:dyDescent="0.3">
      <c r="A30" s="179" t="s">
        <v>2480</v>
      </c>
      <c r="B30" s="97" t="s">
        <v>2504</v>
      </c>
      <c r="C30" s="76" t="s">
        <v>2303</v>
      </c>
      <c r="D30" s="98"/>
      <c r="E30" s="249">
        <v>23400</v>
      </c>
      <c r="F30" s="134"/>
      <c r="G30" s="135">
        <f t="shared" si="1"/>
        <v>111816</v>
      </c>
      <c r="H30" s="189"/>
    </row>
    <row r="31" spans="1:8" x14ac:dyDescent="0.3">
      <c r="A31" s="179"/>
      <c r="B31" s="97"/>
      <c r="C31" s="188" t="s">
        <v>2487</v>
      </c>
      <c r="D31" s="407">
        <v>-52044</v>
      </c>
      <c r="E31" s="249"/>
      <c r="F31" s="134"/>
      <c r="G31" s="135">
        <f>G30+D31</f>
        <v>59772</v>
      </c>
      <c r="H31" s="189"/>
    </row>
    <row r="32" spans="1:8" x14ac:dyDescent="0.3">
      <c r="A32" s="179" t="s">
        <v>2540</v>
      </c>
      <c r="B32" s="97" t="s">
        <v>2549</v>
      </c>
      <c r="C32" s="188" t="s">
        <v>2548</v>
      </c>
      <c r="D32" s="407"/>
      <c r="E32" s="249">
        <v>4580</v>
      </c>
      <c r="F32" s="134"/>
      <c r="G32" s="135">
        <f>G31-E32-F32</f>
        <v>55192</v>
      </c>
      <c r="H32" s="189"/>
    </row>
    <row r="33" spans="1:8" x14ac:dyDescent="0.3">
      <c r="A33" s="179"/>
      <c r="B33" s="97" t="s">
        <v>2568</v>
      </c>
      <c r="C33" s="188" t="s">
        <v>2567</v>
      </c>
      <c r="D33" s="407"/>
      <c r="E33" s="249">
        <v>2540</v>
      </c>
      <c r="F33" s="134"/>
      <c r="G33" s="135">
        <f t="shared" ref="G33:G53" si="2">G32-E33-F33</f>
        <v>52652</v>
      </c>
      <c r="H33" s="189"/>
    </row>
    <row r="34" spans="1:8" x14ac:dyDescent="0.3">
      <c r="A34" s="179"/>
      <c r="B34" s="97" t="s">
        <v>2569</v>
      </c>
      <c r="C34" s="188" t="s">
        <v>2571</v>
      </c>
      <c r="D34" s="407"/>
      <c r="E34" s="249">
        <v>740</v>
      </c>
      <c r="F34" s="134"/>
      <c r="G34" s="135">
        <f t="shared" si="2"/>
        <v>51912</v>
      </c>
      <c r="H34" s="189"/>
    </row>
    <row r="35" spans="1:8" x14ac:dyDescent="0.3">
      <c r="A35" s="179"/>
      <c r="B35" s="97" t="s">
        <v>2570</v>
      </c>
      <c r="C35" s="188" t="s">
        <v>2572</v>
      </c>
      <c r="D35" s="98"/>
      <c r="E35" s="249">
        <v>2660</v>
      </c>
      <c r="F35" s="134"/>
      <c r="G35" s="135">
        <f t="shared" si="2"/>
        <v>49252</v>
      </c>
      <c r="H35" s="189"/>
    </row>
    <row r="36" spans="1:8" x14ac:dyDescent="0.3">
      <c r="A36" s="179"/>
      <c r="B36" s="97" t="s">
        <v>2582</v>
      </c>
      <c r="C36" s="188" t="s">
        <v>2576</v>
      </c>
      <c r="D36" s="98"/>
      <c r="E36" s="249">
        <v>2900</v>
      </c>
      <c r="F36" s="134"/>
      <c r="G36" s="135">
        <f t="shared" si="2"/>
        <v>46352</v>
      </c>
      <c r="H36" s="189"/>
    </row>
    <row r="37" spans="1:8" x14ac:dyDescent="0.3">
      <c r="A37" s="179"/>
      <c r="B37" s="97" t="s">
        <v>2569</v>
      </c>
      <c r="C37" s="188" t="s">
        <v>2577</v>
      </c>
      <c r="D37" s="98"/>
      <c r="E37" s="249">
        <v>1940</v>
      </c>
      <c r="F37" s="134"/>
      <c r="G37" s="135">
        <f t="shared" si="2"/>
        <v>44412</v>
      </c>
      <c r="H37" s="189"/>
    </row>
    <row r="38" spans="1:8" x14ac:dyDescent="0.3">
      <c r="A38" s="179"/>
      <c r="B38" s="97" t="s">
        <v>2583</v>
      </c>
      <c r="C38" s="188" t="s">
        <v>2578</v>
      </c>
      <c r="D38" s="98"/>
      <c r="E38" s="249">
        <v>2780</v>
      </c>
      <c r="F38" s="134"/>
      <c r="G38" s="135">
        <f t="shared" si="2"/>
        <v>41632</v>
      </c>
      <c r="H38" s="189"/>
    </row>
    <row r="39" spans="1:8" x14ac:dyDescent="0.3">
      <c r="A39" s="179"/>
      <c r="B39" s="97" t="s">
        <v>2584</v>
      </c>
      <c r="C39" s="188" t="s">
        <v>2579</v>
      </c>
      <c r="D39" s="98"/>
      <c r="E39" s="249">
        <v>2540</v>
      </c>
      <c r="F39" s="134"/>
      <c r="G39" s="135">
        <f t="shared" si="2"/>
        <v>39092</v>
      </c>
      <c r="H39" s="189"/>
    </row>
    <row r="40" spans="1:8" x14ac:dyDescent="0.3">
      <c r="A40" s="179"/>
      <c r="B40" s="97" t="s">
        <v>2585</v>
      </c>
      <c r="C40" s="188" t="s">
        <v>2580</v>
      </c>
      <c r="D40" s="98"/>
      <c r="E40" s="249">
        <v>1460</v>
      </c>
      <c r="F40" s="134"/>
      <c r="G40" s="135">
        <f t="shared" si="2"/>
        <v>37632</v>
      </c>
      <c r="H40" s="189"/>
    </row>
    <row r="41" spans="1:8" x14ac:dyDescent="0.3">
      <c r="A41" s="179"/>
      <c r="B41" s="97" t="s">
        <v>2586</v>
      </c>
      <c r="C41" s="188" t="s">
        <v>2581</v>
      </c>
      <c r="D41" s="98"/>
      <c r="E41" s="249">
        <v>2780</v>
      </c>
      <c r="F41" s="134"/>
      <c r="G41" s="135">
        <f t="shared" si="2"/>
        <v>34852</v>
      </c>
      <c r="H41" s="189"/>
    </row>
    <row r="42" spans="1:8" x14ac:dyDescent="0.3">
      <c r="A42" s="179" t="s">
        <v>2689</v>
      </c>
      <c r="B42" s="97" t="s">
        <v>2697</v>
      </c>
      <c r="C42" s="188" t="s">
        <v>2694</v>
      </c>
      <c r="D42" s="98"/>
      <c r="E42" s="249">
        <v>1560</v>
      </c>
      <c r="F42" s="134"/>
      <c r="G42" s="135">
        <f t="shared" si="2"/>
        <v>33292</v>
      </c>
      <c r="H42" s="189"/>
    </row>
    <row r="43" spans="1:8" x14ac:dyDescent="0.3">
      <c r="A43" s="179"/>
      <c r="B43" s="97" t="s">
        <v>2698</v>
      </c>
      <c r="C43" s="188" t="s">
        <v>2695</v>
      </c>
      <c r="D43" s="98"/>
      <c r="E43" s="249">
        <v>2300</v>
      </c>
      <c r="F43" s="134"/>
      <c r="G43" s="135">
        <f t="shared" si="2"/>
        <v>30992</v>
      </c>
      <c r="H43" s="189"/>
    </row>
    <row r="44" spans="1:8" x14ac:dyDescent="0.3">
      <c r="A44" s="179"/>
      <c r="B44" s="97" t="s">
        <v>2699</v>
      </c>
      <c r="C44" s="188" t="s">
        <v>2704</v>
      </c>
      <c r="D44" s="98"/>
      <c r="E44" s="249">
        <v>2660</v>
      </c>
      <c r="F44" s="134"/>
      <c r="G44" s="135">
        <f t="shared" si="2"/>
        <v>28332</v>
      </c>
      <c r="H44" s="189"/>
    </row>
    <row r="45" spans="1:8" x14ac:dyDescent="0.3">
      <c r="A45" s="179"/>
      <c r="B45" s="97" t="s">
        <v>2700</v>
      </c>
      <c r="C45" s="188" t="s">
        <v>2705</v>
      </c>
      <c r="D45" s="98"/>
      <c r="E45" s="249">
        <v>2180</v>
      </c>
      <c r="F45" s="134"/>
      <c r="G45" s="135">
        <f t="shared" si="2"/>
        <v>26152</v>
      </c>
      <c r="H45" s="189"/>
    </row>
    <row r="46" spans="1:8" x14ac:dyDescent="0.3">
      <c r="A46" s="179"/>
      <c r="B46" s="97" t="s">
        <v>2701</v>
      </c>
      <c r="C46" s="188" t="s">
        <v>2706</v>
      </c>
      <c r="D46" s="98"/>
      <c r="E46" s="249">
        <v>1820</v>
      </c>
      <c r="F46" s="134"/>
      <c r="G46" s="135">
        <f t="shared" si="2"/>
        <v>24332</v>
      </c>
      <c r="H46" s="189"/>
    </row>
    <row r="47" spans="1:8" x14ac:dyDescent="0.3">
      <c r="A47" s="179"/>
      <c r="B47" s="97" t="s">
        <v>2702</v>
      </c>
      <c r="C47" s="188" t="s">
        <v>2707</v>
      </c>
      <c r="D47" s="98"/>
      <c r="E47" s="249">
        <v>2060</v>
      </c>
      <c r="F47" s="134"/>
      <c r="G47" s="135">
        <f t="shared" si="2"/>
        <v>22272</v>
      </c>
      <c r="H47" s="189"/>
    </row>
    <row r="48" spans="1:8" x14ac:dyDescent="0.3">
      <c r="A48" s="179"/>
      <c r="B48" s="97" t="s">
        <v>2703</v>
      </c>
      <c r="C48" s="188" t="s">
        <v>2708</v>
      </c>
      <c r="D48" s="98"/>
      <c r="E48" s="249">
        <v>2780</v>
      </c>
      <c r="F48" s="134"/>
      <c r="G48" s="135">
        <f t="shared" si="2"/>
        <v>19492</v>
      </c>
      <c r="H48" s="427" t="s">
        <v>2696</v>
      </c>
    </row>
    <row r="49" spans="1:8" x14ac:dyDescent="0.3">
      <c r="A49" s="179"/>
      <c r="B49" s="97" t="s">
        <v>2764</v>
      </c>
      <c r="C49" s="76" t="s">
        <v>2765</v>
      </c>
      <c r="D49" s="98"/>
      <c r="E49" s="249">
        <v>1840</v>
      </c>
      <c r="F49" s="134"/>
      <c r="G49" s="135">
        <f t="shared" si="2"/>
        <v>17652</v>
      </c>
      <c r="H49" s="189"/>
    </row>
    <row r="50" spans="1:8" x14ac:dyDescent="0.3">
      <c r="A50" s="179"/>
      <c r="B50" s="97" t="s">
        <v>2770</v>
      </c>
      <c r="C50" s="76" t="s">
        <v>2766</v>
      </c>
      <c r="D50" s="98"/>
      <c r="E50" s="249">
        <v>2880</v>
      </c>
      <c r="F50" s="134"/>
      <c r="G50" s="135">
        <f t="shared" si="2"/>
        <v>14772</v>
      </c>
      <c r="H50" s="189"/>
    </row>
    <row r="51" spans="1:8" x14ac:dyDescent="0.3">
      <c r="A51" s="179"/>
      <c r="B51" s="97" t="s">
        <v>2771</v>
      </c>
      <c r="C51" s="76" t="s">
        <v>2767</v>
      </c>
      <c r="D51" s="98"/>
      <c r="E51" s="249">
        <v>2568</v>
      </c>
      <c r="F51" s="134"/>
      <c r="G51" s="135">
        <f t="shared" si="2"/>
        <v>12204</v>
      </c>
      <c r="H51" s="189"/>
    </row>
    <row r="52" spans="1:8" x14ac:dyDescent="0.3">
      <c r="A52" s="179"/>
      <c r="B52" s="97" t="s">
        <v>2772</v>
      </c>
      <c r="C52" s="76" t="s">
        <v>2768</v>
      </c>
      <c r="D52" s="98"/>
      <c r="E52" s="249">
        <v>2248</v>
      </c>
      <c r="F52" s="134"/>
      <c r="G52" s="135">
        <f t="shared" si="2"/>
        <v>9956</v>
      </c>
      <c r="H52" s="189"/>
    </row>
    <row r="53" spans="1:8" x14ac:dyDescent="0.3">
      <c r="A53" s="179"/>
      <c r="B53" s="97" t="s">
        <v>2773</v>
      </c>
      <c r="C53" s="76" t="s">
        <v>2769</v>
      </c>
      <c r="D53" s="98"/>
      <c r="E53" s="249">
        <v>3528</v>
      </c>
      <c r="F53" s="134"/>
      <c r="G53" s="135">
        <f t="shared" si="2"/>
        <v>6428</v>
      </c>
      <c r="H53" s="189"/>
    </row>
    <row r="54" spans="1:8" x14ac:dyDescent="0.3">
      <c r="A54" s="179"/>
      <c r="B54" s="97"/>
      <c r="C54" s="76"/>
      <c r="D54" s="98"/>
      <c r="E54" s="249"/>
      <c r="F54" s="134"/>
      <c r="G54" s="135"/>
      <c r="H54" s="189"/>
    </row>
    <row r="55" spans="1:8" x14ac:dyDescent="0.3">
      <c r="A55" s="179" t="s">
        <v>782</v>
      </c>
      <c r="B55" s="97" t="s">
        <v>783</v>
      </c>
      <c r="C55" s="188" t="s">
        <v>781</v>
      </c>
      <c r="D55" s="98">
        <v>29600</v>
      </c>
      <c r="E55" s="98"/>
      <c r="F55" s="134"/>
      <c r="G55" s="135">
        <v>29600</v>
      </c>
      <c r="H55" s="189" t="s">
        <v>296</v>
      </c>
    </row>
    <row r="56" spans="1:8" x14ac:dyDescent="0.3">
      <c r="A56" s="179" t="s">
        <v>1464</v>
      </c>
      <c r="B56" s="97" t="s">
        <v>1463</v>
      </c>
      <c r="C56" s="188" t="s">
        <v>1465</v>
      </c>
      <c r="D56" s="98"/>
      <c r="E56" s="98">
        <v>25000</v>
      </c>
      <c r="F56" s="91"/>
      <c r="G56" s="135">
        <f>G55-E56</f>
        <v>4600</v>
      </c>
      <c r="H56" s="189"/>
    </row>
    <row r="57" spans="1:8" ht="18.75" x14ac:dyDescent="0.3">
      <c r="A57" s="179" t="s">
        <v>1656</v>
      </c>
      <c r="B57" s="97" t="s">
        <v>1659</v>
      </c>
      <c r="C57" s="188" t="s">
        <v>1660</v>
      </c>
      <c r="D57" s="98"/>
      <c r="E57" s="98">
        <v>4600</v>
      </c>
      <c r="F57" s="91"/>
      <c r="G57" s="262">
        <f>G56-E57</f>
        <v>0</v>
      </c>
      <c r="H57" s="189"/>
    </row>
    <row r="58" spans="1:8" x14ac:dyDescent="0.3">
      <c r="A58" s="179"/>
      <c r="B58" s="97"/>
      <c r="C58" s="188"/>
      <c r="D58" s="98"/>
      <c r="E58" s="98"/>
      <c r="F58" s="134"/>
      <c r="G58" s="135"/>
      <c r="H58" s="189"/>
    </row>
    <row r="59" spans="1:8" x14ac:dyDescent="0.3">
      <c r="A59" s="179" t="s">
        <v>848</v>
      </c>
      <c r="B59" s="97" t="s">
        <v>849</v>
      </c>
      <c r="C59" s="188" t="s">
        <v>850</v>
      </c>
      <c r="D59" s="98">
        <v>545320</v>
      </c>
      <c r="E59" s="98"/>
      <c r="F59" s="134"/>
      <c r="G59" s="135">
        <v>545320</v>
      </c>
      <c r="H59" s="189" t="s">
        <v>768</v>
      </c>
    </row>
    <row r="60" spans="1:8" x14ac:dyDescent="0.3">
      <c r="A60" s="179" t="s">
        <v>1053</v>
      </c>
      <c r="B60" s="97" t="s">
        <v>1067</v>
      </c>
      <c r="C60" s="188" t="s">
        <v>1303</v>
      </c>
      <c r="D60" s="98"/>
      <c r="E60" s="149">
        <v>434877.6</v>
      </c>
      <c r="F60" s="185"/>
      <c r="G60" s="149">
        <f>G59-E60</f>
        <v>110442.40000000002</v>
      </c>
      <c r="H60" s="189"/>
    </row>
    <row r="61" spans="1:8" ht="18.75" x14ac:dyDescent="0.3">
      <c r="A61" s="179"/>
      <c r="B61" s="97"/>
      <c r="C61" s="188" t="s">
        <v>2487</v>
      </c>
      <c r="D61" s="407">
        <v>-110442.4</v>
      </c>
      <c r="E61" s="254"/>
      <c r="F61" s="185"/>
      <c r="G61" s="7">
        <f>G60+D61</f>
        <v>0</v>
      </c>
      <c r="H61" s="189"/>
    </row>
    <row r="62" spans="1:8" x14ac:dyDescent="0.3">
      <c r="A62" s="179"/>
      <c r="B62" s="97"/>
      <c r="C62" s="188"/>
      <c r="D62" s="98"/>
      <c r="E62" s="98"/>
      <c r="F62" s="134"/>
      <c r="G62" s="135"/>
      <c r="H62" s="189"/>
    </row>
    <row r="63" spans="1:8" x14ac:dyDescent="0.3">
      <c r="A63" s="179" t="s">
        <v>928</v>
      </c>
      <c r="B63" s="97" t="s">
        <v>929</v>
      </c>
      <c r="C63" s="188" t="s">
        <v>930</v>
      </c>
      <c r="D63" s="98">
        <v>6000</v>
      </c>
      <c r="E63" s="98"/>
      <c r="F63" s="134"/>
      <c r="G63" s="135">
        <v>6000</v>
      </c>
      <c r="H63" s="75" t="s">
        <v>649</v>
      </c>
    </row>
    <row r="64" spans="1:8" x14ac:dyDescent="0.3">
      <c r="A64" s="179" t="s">
        <v>2480</v>
      </c>
      <c r="B64" s="97" t="s">
        <v>2499</v>
      </c>
      <c r="C64" s="188" t="s">
        <v>2378</v>
      </c>
      <c r="D64" s="98"/>
      <c r="E64" s="98">
        <v>840</v>
      </c>
      <c r="F64" s="134"/>
      <c r="G64" s="135">
        <f>G63-E64</f>
        <v>5160</v>
      </c>
      <c r="H64" s="250" t="s">
        <v>1044</v>
      </c>
    </row>
    <row r="65" spans="1:8" ht="18.75" x14ac:dyDescent="0.3">
      <c r="A65" s="179"/>
      <c r="B65" s="97"/>
      <c r="C65" s="188" t="s">
        <v>2487</v>
      </c>
      <c r="D65" s="407">
        <v>-5160</v>
      </c>
      <c r="E65" s="98"/>
      <c r="F65" s="134"/>
      <c r="G65" s="262">
        <f>G64+D65</f>
        <v>0</v>
      </c>
      <c r="H65" s="250"/>
    </row>
    <row r="66" spans="1:8" x14ac:dyDescent="0.3">
      <c r="A66" s="179"/>
      <c r="B66" s="97"/>
      <c r="C66" s="188"/>
      <c r="D66" s="98"/>
      <c r="E66" s="98"/>
      <c r="F66" s="134"/>
      <c r="G66" s="135"/>
      <c r="H66" s="250"/>
    </row>
    <row r="67" spans="1:8" x14ac:dyDescent="0.3">
      <c r="A67" s="179" t="s">
        <v>1693</v>
      </c>
      <c r="B67" s="97" t="s">
        <v>1713</v>
      </c>
      <c r="C67" s="188" t="s">
        <v>1714</v>
      </c>
      <c r="D67" s="98">
        <v>8832</v>
      </c>
      <c r="E67" s="98"/>
      <c r="F67" s="134"/>
      <c r="G67" s="135">
        <v>8832</v>
      </c>
      <c r="H67" s="250" t="s">
        <v>23</v>
      </c>
    </row>
    <row r="68" spans="1:8" x14ac:dyDescent="0.3">
      <c r="A68" s="179" t="s">
        <v>1942</v>
      </c>
      <c r="B68" s="97" t="s">
        <v>1944</v>
      </c>
      <c r="C68" s="188" t="s">
        <v>1945</v>
      </c>
      <c r="D68" s="98"/>
      <c r="E68" s="98">
        <v>2046</v>
      </c>
      <c r="F68" s="134"/>
      <c r="G68" s="135">
        <f>G67-E68-F68</f>
        <v>6786</v>
      </c>
      <c r="H68" s="250"/>
    </row>
    <row r="69" spans="1:8" x14ac:dyDescent="0.3">
      <c r="A69" s="179" t="s">
        <v>2517</v>
      </c>
      <c r="B69" s="97" t="s">
        <v>2518</v>
      </c>
      <c r="C69" s="188" t="s">
        <v>2464</v>
      </c>
      <c r="D69" s="98"/>
      <c r="E69" s="98">
        <v>2492</v>
      </c>
      <c r="F69" s="134"/>
      <c r="G69" s="135">
        <f>G68-E69-F69</f>
        <v>4294</v>
      </c>
      <c r="H69" s="250"/>
    </row>
    <row r="70" spans="1:8" x14ac:dyDescent="0.3">
      <c r="A70" s="179"/>
      <c r="B70" s="97"/>
      <c r="C70" s="188" t="s">
        <v>2487</v>
      </c>
      <c r="D70" s="407">
        <v>-4294</v>
      </c>
      <c r="E70" s="98"/>
      <c r="F70" s="134"/>
      <c r="G70" s="135">
        <f>G69+D70</f>
        <v>0</v>
      </c>
      <c r="H70" s="250"/>
    </row>
    <row r="71" spans="1:8" x14ac:dyDescent="0.3">
      <c r="A71" s="179"/>
      <c r="B71" s="97"/>
      <c r="C71" s="188"/>
      <c r="D71" s="98"/>
      <c r="E71" s="98"/>
      <c r="F71" s="134"/>
      <c r="G71" s="135"/>
      <c r="H71" s="250"/>
    </row>
    <row r="72" spans="1:8" x14ac:dyDescent="0.3">
      <c r="A72" s="179" t="s">
        <v>1749</v>
      </c>
      <c r="B72" s="97" t="s">
        <v>1750</v>
      </c>
      <c r="C72" s="188" t="s">
        <v>1751</v>
      </c>
      <c r="D72" s="98">
        <v>64500</v>
      </c>
      <c r="E72" s="98"/>
      <c r="F72" s="134"/>
      <c r="G72" s="135">
        <v>64500</v>
      </c>
      <c r="H72" s="250" t="s">
        <v>18</v>
      </c>
    </row>
    <row r="73" spans="1:8" x14ac:dyDescent="0.3">
      <c r="A73" s="179" t="s">
        <v>1963</v>
      </c>
      <c r="B73" s="97" t="s">
        <v>1964</v>
      </c>
      <c r="C73" s="188" t="s">
        <v>1965</v>
      </c>
      <c r="D73" s="98"/>
      <c r="E73" s="98">
        <v>61900</v>
      </c>
      <c r="F73" s="134"/>
      <c r="G73" s="135">
        <f>G72-E73</f>
        <v>2600</v>
      </c>
      <c r="H73" s="250"/>
    </row>
    <row r="74" spans="1:8" x14ac:dyDescent="0.3">
      <c r="A74" s="179"/>
      <c r="B74" s="97"/>
      <c r="C74" s="188" t="s">
        <v>2487</v>
      </c>
      <c r="D74" s="407">
        <v>-2600</v>
      </c>
      <c r="E74" s="98"/>
      <c r="F74" s="134"/>
      <c r="G74" s="135">
        <f>G73+D74</f>
        <v>0</v>
      </c>
      <c r="H74" s="250"/>
    </row>
    <row r="75" spans="1:8" x14ac:dyDescent="0.3">
      <c r="A75" s="179"/>
      <c r="B75" s="97"/>
      <c r="C75" s="188"/>
      <c r="D75" s="98"/>
      <c r="E75" s="98"/>
      <c r="F75" s="134"/>
      <c r="G75" s="135"/>
      <c r="H75" s="250"/>
    </row>
    <row r="76" spans="1:8" x14ac:dyDescent="0.3">
      <c r="A76" s="179" t="s">
        <v>1693</v>
      </c>
      <c r="B76" s="97" t="s">
        <v>1758</v>
      </c>
      <c r="C76" s="188" t="s">
        <v>1759</v>
      </c>
      <c r="D76" s="98">
        <v>30000</v>
      </c>
      <c r="E76" s="98"/>
      <c r="F76" s="134"/>
      <c r="G76" s="135">
        <v>30000</v>
      </c>
      <c r="H76" s="250" t="s">
        <v>1760</v>
      </c>
    </row>
    <row r="77" spans="1:8" ht="18.75" x14ac:dyDescent="0.3">
      <c r="A77" s="179" t="s">
        <v>1966</v>
      </c>
      <c r="B77" s="97" t="s">
        <v>1969</v>
      </c>
      <c r="C77" s="188" t="s">
        <v>675</v>
      </c>
      <c r="D77" s="98"/>
      <c r="E77" s="98">
        <v>30000</v>
      </c>
      <c r="F77" s="134"/>
      <c r="G77" s="262">
        <f>G76-E77</f>
        <v>0</v>
      </c>
      <c r="H77" s="250"/>
    </row>
    <row r="78" spans="1:8" x14ac:dyDescent="0.3">
      <c r="A78" s="179"/>
      <c r="B78" s="97"/>
      <c r="C78" s="188"/>
      <c r="D78" s="98"/>
      <c r="E78" s="98"/>
      <c r="F78" s="134"/>
      <c r="G78" s="135"/>
      <c r="H78" s="250"/>
    </row>
    <row r="79" spans="1:8" x14ac:dyDescent="0.3">
      <c r="A79" s="179" t="s">
        <v>1680</v>
      </c>
      <c r="B79" s="97" t="s">
        <v>1858</v>
      </c>
      <c r="C79" s="188" t="s">
        <v>1857</v>
      </c>
      <c r="D79" s="98">
        <v>13200</v>
      </c>
      <c r="E79" s="98"/>
      <c r="F79" s="134"/>
      <c r="G79" s="135">
        <v>13200</v>
      </c>
      <c r="H79" s="250" t="s">
        <v>291</v>
      </c>
    </row>
    <row r="80" spans="1:8" x14ac:dyDescent="0.3">
      <c r="A80" s="179" t="s">
        <v>1860</v>
      </c>
      <c r="B80" s="97" t="s">
        <v>1910</v>
      </c>
      <c r="C80" s="188" t="s">
        <v>801</v>
      </c>
      <c r="D80" s="98"/>
      <c r="E80" s="98">
        <v>2848</v>
      </c>
      <c r="F80" s="134"/>
      <c r="G80" s="135">
        <f>G79-E80</f>
        <v>10352</v>
      </c>
      <c r="H80" s="250"/>
    </row>
    <row r="81" spans="1:8" x14ac:dyDescent="0.3">
      <c r="A81" s="179" t="s">
        <v>2394</v>
      </c>
      <c r="B81" s="97" t="s">
        <v>2411</v>
      </c>
      <c r="C81" s="188" t="s">
        <v>1893</v>
      </c>
      <c r="D81" s="98"/>
      <c r="E81" s="98">
        <v>2848</v>
      </c>
      <c r="F81" s="134"/>
      <c r="G81" s="135">
        <f>G80-E81-F81</f>
        <v>7504</v>
      </c>
      <c r="H81" s="250"/>
    </row>
    <row r="82" spans="1:8" ht="18.75" x14ac:dyDescent="0.3">
      <c r="A82" s="179"/>
      <c r="B82" s="97"/>
      <c r="C82" s="188" t="s">
        <v>2487</v>
      </c>
      <c r="D82" s="407">
        <v>-7504</v>
      </c>
      <c r="E82" s="98"/>
      <c r="F82" s="134"/>
      <c r="G82" s="262">
        <f>D82+G81</f>
        <v>0</v>
      </c>
      <c r="H82" s="250"/>
    </row>
    <row r="83" spans="1:8" x14ac:dyDescent="0.3">
      <c r="A83" s="179"/>
      <c r="B83" s="97"/>
      <c r="C83" s="188"/>
      <c r="D83" s="98"/>
      <c r="E83" s="98"/>
      <c r="F83" s="134"/>
      <c r="G83" s="135"/>
      <c r="H83" s="250"/>
    </row>
    <row r="84" spans="1:8" x14ac:dyDescent="0.3">
      <c r="A84" s="179" t="s">
        <v>1860</v>
      </c>
      <c r="B84" s="97" t="s">
        <v>1861</v>
      </c>
      <c r="C84" s="188" t="s">
        <v>1859</v>
      </c>
      <c r="D84" s="98">
        <v>10000</v>
      </c>
      <c r="E84" s="98"/>
      <c r="F84" s="134"/>
      <c r="G84" s="135">
        <v>10000</v>
      </c>
      <c r="H84" s="250" t="s">
        <v>23</v>
      </c>
    </row>
    <row r="85" spans="1:8" x14ac:dyDescent="0.3">
      <c r="A85" s="179" t="s">
        <v>2480</v>
      </c>
      <c r="B85" s="97" t="s">
        <v>2500</v>
      </c>
      <c r="C85" s="188" t="s">
        <v>2287</v>
      </c>
      <c r="D85" s="98"/>
      <c r="E85" s="98">
        <v>5000</v>
      </c>
      <c r="F85" s="134"/>
      <c r="G85" s="135">
        <f>G84-E85-F85</f>
        <v>5000</v>
      </c>
      <c r="H85" s="250"/>
    </row>
    <row r="86" spans="1:8" x14ac:dyDescent="0.3">
      <c r="A86" s="179" t="s">
        <v>2403</v>
      </c>
      <c r="B86" s="97" t="s">
        <v>2451</v>
      </c>
      <c r="C86" s="188" t="s">
        <v>2402</v>
      </c>
      <c r="D86" s="98"/>
      <c r="E86" s="98">
        <v>1424</v>
      </c>
      <c r="F86" s="134"/>
      <c r="G86" s="135">
        <f>G85-E86-F86</f>
        <v>3576</v>
      </c>
      <c r="H86" s="250"/>
    </row>
    <row r="87" spans="1:8" ht="18.75" x14ac:dyDescent="0.3">
      <c r="A87" s="179"/>
      <c r="B87" s="97"/>
      <c r="C87" s="188" t="s">
        <v>2487</v>
      </c>
      <c r="D87" s="407">
        <v>-3576</v>
      </c>
      <c r="E87" s="98"/>
      <c r="F87" s="134"/>
      <c r="G87" s="262">
        <f>G86+D87</f>
        <v>0</v>
      </c>
      <c r="H87" s="250"/>
    </row>
    <row r="88" spans="1:8" x14ac:dyDescent="0.3">
      <c r="A88" s="179"/>
      <c r="B88" s="97"/>
      <c r="C88" s="188"/>
      <c r="D88" s="98"/>
      <c r="E88" s="98"/>
      <c r="F88" s="134"/>
      <c r="G88" s="135"/>
      <c r="H88" s="250"/>
    </row>
    <row r="89" spans="1:8" x14ac:dyDescent="0.3">
      <c r="A89" s="179" t="s">
        <v>2109</v>
      </c>
      <c r="B89" s="97" t="s">
        <v>2110</v>
      </c>
      <c r="C89" s="188" t="s">
        <v>2111</v>
      </c>
      <c r="D89" s="98">
        <v>20000</v>
      </c>
      <c r="E89" s="98"/>
      <c r="F89" s="134"/>
      <c r="G89" s="135">
        <f>D89</f>
        <v>20000</v>
      </c>
      <c r="H89" s="250" t="s">
        <v>23</v>
      </c>
    </row>
    <row r="90" spans="1:8" x14ac:dyDescent="0.3">
      <c r="A90" s="179" t="s">
        <v>2517</v>
      </c>
      <c r="B90" s="97" t="s">
        <v>2519</v>
      </c>
      <c r="C90" s="188" t="s">
        <v>2383</v>
      </c>
      <c r="D90" s="98"/>
      <c r="E90" s="98">
        <v>15600</v>
      </c>
      <c r="F90" s="134"/>
      <c r="G90" s="135">
        <f>G89-E90-F90</f>
        <v>4400</v>
      </c>
      <c r="H90" s="250" t="s">
        <v>2498</v>
      </c>
    </row>
    <row r="91" spans="1:8" ht="18.75" x14ac:dyDescent="0.3">
      <c r="A91" s="179" t="s">
        <v>2540</v>
      </c>
      <c r="B91" s="97" t="s">
        <v>2551</v>
      </c>
      <c r="C91" s="188" t="s">
        <v>2497</v>
      </c>
      <c r="D91" s="98"/>
      <c r="E91" s="98">
        <v>4400</v>
      </c>
      <c r="F91" s="134"/>
      <c r="G91" s="262">
        <f>G90-E91-F91</f>
        <v>0</v>
      </c>
      <c r="H91" s="250"/>
    </row>
    <row r="92" spans="1:8" x14ac:dyDescent="0.3">
      <c r="A92" s="179"/>
      <c r="B92" s="97"/>
      <c r="C92" s="188"/>
      <c r="D92" s="98"/>
      <c r="E92" s="98"/>
      <c r="F92" s="134"/>
      <c r="G92" s="135"/>
      <c r="H92" s="250"/>
    </row>
    <row r="93" spans="1:8" x14ac:dyDescent="0.3">
      <c r="A93" s="179" t="s">
        <v>2058</v>
      </c>
      <c r="B93" s="97" t="s">
        <v>2188</v>
      </c>
      <c r="C93" s="188" t="s">
        <v>2189</v>
      </c>
      <c r="D93" s="98">
        <v>2640</v>
      </c>
      <c r="E93" s="98"/>
      <c r="F93" s="134"/>
      <c r="G93" s="135">
        <v>2640</v>
      </c>
      <c r="H93" s="250" t="s">
        <v>32</v>
      </c>
    </row>
    <row r="94" spans="1:8" ht="18.75" x14ac:dyDescent="0.3">
      <c r="A94" s="179" t="s">
        <v>2403</v>
      </c>
      <c r="B94" s="97" t="s">
        <v>2450</v>
      </c>
      <c r="C94" s="188" t="s">
        <v>2367</v>
      </c>
      <c r="D94" s="98"/>
      <c r="E94" s="98">
        <v>1270</v>
      </c>
      <c r="F94" s="134"/>
      <c r="G94" s="262">
        <f>G93-E94</f>
        <v>1370</v>
      </c>
      <c r="H94" s="250"/>
    </row>
    <row r="95" spans="1:8" ht="18.75" x14ac:dyDescent="0.3">
      <c r="A95" s="179"/>
      <c r="B95" s="97"/>
      <c r="C95" s="188" t="s">
        <v>2487</v>
      </c>
      <c r="D95" s="407">
        <v>-1370</v>
      </c>
      <c r="E95" s="98"/>
      <c r="F95" s="134"/>
      <c r="G95" s="262">
        <f>G94+D95</f>
        <v>0</v>
      </c>
      <c r="H95" s="250"/>
    </row>
    <row r="96" spans="1:8" x14ac:dyDescent="0.3">
      <c r="A96" s="179"/>
      <c r="B96" s="97"/>
      <c r="C96" s="188"/>
      <c r="D96" s="98"/>
      <c r="E96" s="98"/>
      <c r="F96" s="134"/>
      <c r="G96" s="135"/>
      <c r="H96" s="250"/>
    </row>
    <row r="97" spans="1:8" x14ac:dyDescent="0.3">
      <c r="A97" s="179" t="s">
        <v>2058</v>
      </c>
      <c r="B97" s="97" t="s">
        <v>2190</v>
      </c>
      <c r="C97" s="188" t="s">
        <v>2191</v>
      </c>
      <c r="D97" s="98">
        <v>11700</v>
      </c>
      <c r="E97" s="98"/>
      <c r="F97" s="134"/>
      <c r="G97" s="135">
        <v>11700</v>
      </c>
      <c r="H97" s="250" t="s">
        <v>23</v>
      </c>
    </row>
    <row r="98" spans="1:8" x14ac:dyDescent="0.3">
      <c r="A98" s="179" t="s">
        <v>2403</v>
      </c>
      <c r="B98" s="97" t="s">
        <v>2452</v>
      </c>
      <c r="C98" s="188" t="s">
        <v>801</v>
      </c>
      <c r="D98" s="98"/>
      <c r="E98" s="98">
        <v>1924</v>
      </c>
      <c r="F98" s="134"/>
      <c r="G98" s="135">
        <f>G97-E98-F98</f>
        <v>9776</v>
      </c>
      <c r="H98" s="250"/>
    </row>
    <row r="99" spans="1:8" x14ac:dyDescent="0.3">
      <c r="A99" s="179"/>
      <c r="B99" s="97" t="s">
        <v>2544</v>
      </c>
      <c r="C99" s="188" t="s">
        <v>2479</v>
      </c>
      <c r="D99" s="98"/>
      <c r="E99" s="98">
        <v>3880</v>
      </c>
      <c r="F99" s="134"/>
      <c r="G99" s="135">
        <f>G98-E99-F99</f>
        <v>5896</v>
      </c>
      <c r="H99" s="250"/>
    </row>
    <row r="100" spans="1:8" ht="18.75" x14ac:dyDescent="0.3">
      <c r="A100" s="179"/>
      <c r="B100" s="97"/>
      <c r="C100" s="188" t="s">
        <v>2487</v>
      </c>
      <c r="D100" s="407">
        <v>-5896</v>
      </c>
      <c r="E100" s="98"/>
      <c r="F100" s="134"/>
      <c r="G100" s="262">
        <f>G99+D100</f>
        <v>0</v>
      </c>
      <c r="H100" s="250"/>
    </row>
    <row r="101" spans="1:8" x14ac:dyDescent="0.3">
      <c r="A101" s="179"/>
      <c r="B101" s="97"/>
      <c r="C101" s="188"/>
      <c r="D101" s="98"/>
      <c r="E101" s="98"/>
      <c r="F101" s="134"/>
      <c r="G101" s="135"/>
      <c r="H101" s="250"/>
    </row>
    <row r="102" spans="1:8" x14ac:dyDescent="0.3">
      <c r="A102" s="179" t="s">
        <v>2058</v>
      </c>
      <c r="B102" s="97" t="s">
        <v>2192</v>
      </c>
      <c r="C102" s="188" t="s">
        <v>2193</v>
      </c>
      <c r="D102" s="98">
        <v>2500</v>
      </c>
      <c r="E102" s="98"/>
      <c r="F102" s="134"/>
      <c r="G102" s="135">
        <v>2500</v>
      </c>
      <c r="H102" s="250" t="s">
        <v>32</v>
      </c>
    </row>
    <row r="103" spans="1:8" x14ac:dyDescent="0.3">
      <c r="A103" s="179"/>
      <c r="B103" s="97"/>
      <c r="C103" s="188" t="s">
        <v>801</v>
      </c>
      <c r="D103" s="98"/>
      <c r="E103" s="98">
        <v>1750</v>
      </c>
      <c r="F103" s="134"/>
      <c r="G103" s="135">
        <f>G102-E103-F103</f>
        <v>750</v>
      </c>
      <c r="H103" s="250"/>
    </row>
    <row r="104" spans="1:8" ht="18.75" x14ac:dyDescent="0.3">
      <c r="A104" s="179"/>
      <c r="B104" s="97"/>
      <c r="C104" s="188" t="s">
        <v>2487</v>
      </c>
      <c r="D104" s="407">
        <v>-750</v>
      </c>
      <c r="E104" s="98"/>
      <c r="F104" s="134"/>
      <c r="G104" s="262">
        <f>G103+D104</f>
        <v>0</v>
      </c>
      <c r="H104" s="250"/>
    </row>
    <row r="105" spans="1:8" x14ac:dyDescent="0.3">
      <c r="A105" s="179"/>
      <c r="B105" s="97"/>
      <c r="C105" s="188"/>
      <c r="D105" s="98"/>
      <c r="E105" s="98"/>
      <c r="F105" s="134"/>
      <c r="G105" s="135"/>
      <c r="H105" s="250"/>
    </row>
    <row r="106" spans="1:8" x14ac:dyDescent="0.3">
      <c r="A106" s="179" t="s">
        <v>2358</v>
      </c>
      <c r="B106" s="97" t="s">
        <v>2359</v>
      </c>
      <c r="C106" s="188" t="s">
        <v>2360</v>
      </c>
      <c r="D106" s="98">
        <v>6600</v>
      </c>
      <c r="E106" s="98"/>
      <c r="F106" s="134"/>
      <c r="G106" s="135">
        <v>6600</v>
      </c>
      <c r="H106" s="250" t="s">
        <v>106</v>
      </c>
    </row>
    <row r="107" spans="1:8" x14ac:dyDescent="0.3">
      <c r="A107" s="179" t="s">
        <v>2399</v>
      </c>
      <c r="B107" s="97" t="s">
        <v>2398</v>
      </c>
      <c r="C107" s="188" t="s">
        <v>801</v>
      </c>
      <c r="D107" s="98"/>
      <c r="E107" s="98">
        <v>4692</v>
      </c>
      <c r="F107" s="134"/>
      <c r="G107" s="135">
        <f>G106-E107</f>
        <v>1908</v>
      </c>
      <c r="H107" s="250"/>
    </row>
    <row r="108" spans="1:8" ht="18.75" x14ac:dyDescent="0.3">
      <c r="A108" s="179"/>
      <c r="B108" s="97"/>
      <c r="C108" s="188" t="s">
        <v>2487</v>
      </c>
      <c r="D108" s="407">
        <v>-1908</v>
      </c>
      <c r="E108" s="98"/>
      <c r="F108" s="134"/>
      <c r="G108" s="262">
        <f>G107+D108</f>
        <v>0</v>
      </c>
      <c r="H108" s="250"/>
    </row>
    <row r="109" spans="1:8" x14ac:dyDescent="0.3">
      <c r="A109" s="179"/>
      <c r="B109" s="97"/>
      <c r="C109" s="188"/>
      <c r="D109" s="98"/>
      <c r="E109" s="98"/>
      <c r="F109" s="134"/>
      <c r="G109" s="135"/>
      <c r="H109" s="250"/>
    </row>
    <row r="110" spans="1:8" ht="18" thickBot="1" x14ac:dyDescent="0.35">
      <c r="A110" s="179"/>
      <c r="B110" s="97"/>
      <c r="C110" s="187"/>
      <c r="D110" s="135"/>
      <c r="E110" s="92"/>
      <c r="F110" s="91"/>
      <c r="G110" s="135"/>
      <c r="H110" s="414"/>
    </row>
    <row r="111" spans="1:8" ht="19.5" thickBot="1" x14ac:dyDescent="0.35">
      <c r="A111" s="108"/>
      <c r="B111" s="143"/>
      <c r="C111" s="131" t="s">
        <v>107</v>
      </c>
      <c r="D111" s="418">
        <f>SUM(D6:D110)</f>
        <v>776575.6</v>
      </c>
      <c r="E111" s="418">
        <f>SUM(E6:E110)</f>
        <v>770147.6</v>
      </c>
      <c r="F111" s="252">
        <f>SUM(F6:F110)</f>
        <v>0</v>
      </c>
      <c r="G111" s="419">
        <f>D111-E111-F111</f>
        <v>6428</v>
      </c>
      <c r="H111" s="421"/>
    </row>
    <row r="112" spans="1:8" ht="18" thickTop="1" x14ac:dyDescent="0.3">
      <c r="D112" s="137"/>
      <c r="F112" s="176"/>
      <c r="G112" s="199"/>
    </row>
    <row r="113" spans="2:10" x14ac:dyDescent="0.3">
      <c r="D113" s="137"/>
      <c r="E113" s="132"/>
      <c r="F113" s="164"/>
      <c r="G113" s="132"/>
    </row>
    <row r="114" spans="2:10" x14ac:dyDescent="0.3">
      <c r="D114" s="137"/>
      <c r="E114" s="132"/>
      <c r="G114" s="132"/>
    </row>
    <row r="115" spans="2:10" x14ac:dyDescent="0.3">
      <c r="C115" s="164"/>
      <c r="E115" s="132"/>
      <c r="G115" s="164"/>
    </row>
    <row r="116" spans="2:10" x14ac:dyDescent="0.3">
      <c r="C116" s="164"/>
      <c r="E116" s="164"/>
      <c r="G116" s="164"/>
      <c r="J116" s="164"/>
    </row>
    <row r="117" spans="2:10" x14ac:dyDescent="0.3">
      <c r="E117" s="139"/>
      <c r="F117" s="132"/>
      <c r="G117" s="164"/>
      <c r="I117" s="132"/>
      <c r="J117" s="164"/>
    </row>
    <row r="118" spans="2:10" x14ac:dyDescent="0.3">
      <c r="B118" s="138"/>
      <c r="C118" s="146"/>
      <c r="D118" s="171"/>
      <c r="E118" s="172"/>
      <c r="G118" s="164"/>
      <c r="J118" s="173"/>
    </row>
    <row r="119" spans="2:10" x14ac:dyDescent="0.3">
      <c r="B119" s="138"/>
      <c r="C119" s="138"/>
      <c r="D119" s="140"/>
      <c r="E119" s="139"/>
    </row>
    <row r="120" spans="2:10" x14ac:dyDescent="0.3">
      <c r="B120" s="138"/>
      <c r="C120" s="138"/>
      <c r="D120" s="140"/>
      <c r="E120" s="139"/>
      <c r="G120" s="132"/>
      <c r="J120" s="132"/>
    </row>
    <row r="121" spans="2:10" x14ac:dyDescent="0.3">
      <c r="B121" s="138"/>
      <c r="C121" s="138"/>
      <c r="D121" s="140"/>
      <c r="E121" s="139"/>
      <c r="G121" s="132"/>
    </row>
    <row r="122" spans="2:10" x14ac:dyDescent="0.3">
      <c r="B122" s="138"/>
      <c r="C122" s="138"/>
      <c r="D122" s="174"/>
      <c r="E122" s="146"/>
    </row>
    <row r="123" spans="2:10" x14ac:dyDescent="0.3">
      <c r="B123" s="138"/>
      <c r="C123" s="138"/>
      <c r="D123" s="138"/>
      <c r="E123" s="139"/>
    </row>
    <row r="124" spans="2:10" x14ac:dyDescent="0.3">
      <c r="B124" s="138"/>
      <c r="C124" s="138"/>
      <c r="D124" s="138"/>
      <c r="E124" s="146"/>
    </row>
  </sheetData>
  <mergeCells count="2">
    <mergeCell ref="A1:H1"/>
    <mergeCell ref="A2:H2"/>
  </mergeCells>
  <pageMargins left="0.27" right="0.15" top="0.39" bottom="0.15748031496062992" header="0.15748031496062992" footer="0.1574803149606299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0"/>
  <sheetViews>
    <sheetView workbookViewId="0">
      <selection activeCell="J322" sqref="J322"/>
    </sheetView>
  </sheetViews>
  <sheetFormatPr defaultRowHeight="17.25" x14ac:dyDescent="0.3"/>
  <cols>
    <col min="1" max="1" width="9" style="78" customWidth="1"/>
    <col min="2" max="2" width="8.85546875" style="78" customWidth="1"/>
    <col min="3" max="3" width="26.85546875" style="78" customWidth="1"/>
    <col min="4" max="4" width="12.42578125" style="78" bestFit="1" customWidth="1"/>
    <col min="5" max="5" width="11.5703125" style="78" customWidth="1"/>
    <col min="6" max="6" width="10" style="337" bestFit="1" customWidth="1"/>
    <col min="7" max="7" width="11.28515625" style="78" customWidth="1"/>
    <col min="8" max="16384" width="9.140625" style="78"/>
  </cols>
  <sheetData>
    <row r="1" spans="1:8" ht="18.75" x14ac:dyDescent="0.3">
      <c r="A1" s="77"/>
      <c r="B1" s="77"/>
      <c r="C1" s="215" t="s">
        <v>186</v>
      </c>
      <c r="D1" s="77"/>
      <c r="E1" s="77"/>
      <c r="F1" s="366"/>
      <c r="G1" s="77" t="s">
        <v>128</v>
      </c>
      <c r="H1" s="77"/>
    </row>
    <row r="2" spans="1:8" x14ac:dyDescent="0.3">
      <c r="A2" s="77"/>
      <c r="B2" s="77" t="s">
        <v>2923</v>
      </c>
      <c r="C2" s="77"/>
      <c r="D2" s="77"/>
      <c r="E2" s="77"/>
      <c r="F2" s="366"/>
      <c r="G2" s="77"/>
      <c r="H2" s="79" t="s">
        <v>160</v>
      </c>
    </row>
    <row r="3" spans="1:8" x14ac:dyDescent="0.3">
      <c r="A3" s="77" t="s">
        <v>14</v>
      </c>
      <c r="B3" s="77"/>
      <c r="C3" s="77"/>
      <c r="D3" s="77"/>
      <c r="E3" s="77"/>
      <c r="F3" s="366"/>
      <c r="G3" s="77" t="s">
        <v>161</v>
      </c>
      <c r="H3" s="77" t="s">
        <v>162</v>
      </c>
    </row>
    <row r="4" spans="1:8" x14ac:dyDescent="0.3">
      <c r="A4" s="80" t="s">
        <v>16</v>
      </c>
      <c r="B4" s="80" t="s">
        <v>12</v>
      </c>
      <c r="C4" s="81" t="s">
        <v>4</v>
      </c>
      <c r="D4" s="82" t="s">
        <v>15</v>
      </c>
      <c r="E4" s="82" t="s">
        <v>1</v>
      </c>
      <c r="F4" s="378" t="s">
        <v>36</v>
      </c>
      <c r="G4" s="83" t="s">
        <v>2</v>
      </c>
      <c r="H4" s="81" t="s">
        <v>3</v>
      </c>
    </row>
    <row r="5" spans="1:8" x14ac:dyDescent="0.3">
      <c r="A5" s="84"/>
      <c r="B5" s="84"/>
      <c r="C5" s="85"/>
      <c r="D5" s="86" t="s">
        <v>0</v>
      </c>
      <c r="E5" s="86"/>
      <c r="F5" s="379" t="s">
        <v>34</v>
      </c>
      <c r="G5" s="87"/>
      <c r="H5" s="88" t="s">
        <v>17</v>
      </c>
    </row>
    <row r="6" spans="1:8" x14ac:dyDescent="0.3">
      <c r="A6" s="89" t="s">
        <v>168</v>
      </c>
      <c r="B6" s="90" t="s">
        <v>169</v>
      </c>
      <c r="C6" s="71" t="s">
        <v>129</v>
      </c>
      <c r="D6" s="72"/>
      <c r="E6" s="91"/>
      <c r="F6" s="135"/>
      <c r="G6" s="92"/>
      <c r="H6" s="209"/>
    </row>
    <row r="7" spans="1:8" x14ac:dyDescent="0.3">
      <c r="A7" s="89"/>
      <c r="B7" s="90"/>
      <c r="C7" s="74" t="s">
        <v>130</v>
      </c>
      <c r="D7" s="93">
        <v>20000</v>
      </c>
      <c r="E7" s="93"/>
      <c r="F7" s="249"/>
      <c r="G7" s="92">
        <f>D7</f>
        <v>20000</v>
      </c>
      <c r="H7" s="94" t="s">
        <v>131</v>
      </c>
    </row>
    <row r="8" spans="1:8" x14ac:dyDescent="0.3">
      <c r="A8" s="89" t="s">
        <v>229</v>
      </c>
      <c r="B8" s="90" t="s">
        <v>238</v>
      </c>
      <c r="C8" s="49" t="s">
        <v>239</v>
      </c>
      <c r="D8" s="93"/>
      <c r="E8" s="93">
        <v>850</v>
      </c>
      <c r="F8" s="249"/>
      <c r="G8" s="92">
        <f>G7-E8</f>
        <v>19150</v>
      </c>
      <c r="H8" s="94"/>
    </row>
    <row r="9" spans="1:8" x14ac:dyDescent="0.3">
      <c r="A9" s="89" t="s">
        <v>281</v>
      </c>
      <c r="B9" s="90"/>
      <c r="C9" s="49" t="s">
        <v>284</v>
      </c>
      <c r="D9" s="93"/>
      <c r="E9" s="93">
        <v>7900</v>
      </c>
      <c r="F9" s="249"/>
      <c r="G9" s="92">
        <f>G8-E9</f>
        <v>11250</v>
      </c>
      <c r="H9" s="94"/>
    </row>
    <row r="10" spans="1:8" x14ac:dyDescent="0.3">
      <c r="A10" s="89" t="s">
        <v>368</v>
      </c>
      <c r="B10" s="90"/>
      <c r="C10" s="49" t="s">
        <v>239</v>
      </c>
      <c r="D10" s="93"/>
      <c r="E10" s="93">
        <v>8500</v>
      </c>
      <c r="F10" s="249"/>
      <c r="G10" s="92">
        <f>G9-E10</f>
        <v>2750</v>
      </c>
      <c r="H10" s="94"/>
    </row>
    <row r="11" spans="1:8" x14ac:dyDescent="0.3">
      <c r="A11" s="89"/>
      <c r="B11" s="90"/>
      <c r="C11" s="49" t="s">
        <v>239</v>
      </c>
      <c r="D11" s="93"/>
      <c r="E11" s="93">
        <v>4890</v>
      </c>
      <c r="F11" s="249"/>
      <c r="G11" s="92">
        <f>G10-E11</f>
        <v>-2140</v>
      </c>
      <c r="H11" s="94"/>
    </row>
    <row r="12" spans="1:8" x14ac:dyDescent="0.3">
      <c r="A12" s="89"/>
      <c r="B12" s="90"/>
      <c r="C12" s="49" t="s">
        <v>859</v>
      </c>
      <c r="D12" s="93">
        <v>5000</v>
      </c>
      <c r="E12" s="93"/>
      <c r="F12" s="249"/>
      <c r="G12" s="92">
        <f>G11+D12</f>
        <v>2860</v>
      </c>
      <c r="H12" s="94"/>
    </row>
    <row r="13" spans="1:8" x14ac:dyDescent="0.3">
      <c r="A13" s="89"/>
      <c r="B13" s="90"/>
      <c r="C13" s="246" t="s">
        <v>860</v>
      </c>
      <c r="D13" s="236">
        <v>5000</v>
      </c>
      <c r="E13" s="93"/>
      <c r="F13" s="249"/>
      <c r="G13" s="92">
        <f>G12+D13</f>
        <v>7860</v>
      </c>
      <c r="H13" s="94"/>
    </row>
    <row r="14" spans="1:8" x14ac:dyDescent="0.3">
      <c r="A14" s="89" t="s">
        <v>864</v>
      </c>
      <c r="B14" s="90" t="s">
        <v>881</v>
      </c>
      <c r="C14" s="49" t="s">
        <v>239</v>
      </c>
      <c r="D14" s="93"/>
      <c r="E14" s="93">
        <v>3500</v>
      </c>
      <c r="F14" s="249"/>
      <c r="G14" s="92">
        <f>G13-E14</f>
        <v>4360</v>
      </c>
      <c r="H14" s="94"/>
    </row>
    <row r="15" spans="1:8" x14ac:dyDescent="0.3">
      <c r="A15" s="89" t="s">
        <v>1061</v>
      </c>
      <c r="B15" s="90" t="s">
        <v>1101</v>
      </c>
      <c r="C15" s="49" t="s">
        <v>239</v>
      </c>
      <c r="D15" s="93"/>
      <c r="E15" s="93">
        <v>650</v>
      </c>
      <c r="F15" s="249"/>
      <c r="G15" s="92">
        <f>G14-E15</f>
        <v>3710</v>
      </c>
      <c r="H15" s="94"/>
    </row>
    <row r="16" spans="1:8" x14ac:dyDescent="0.3">
      <c r="A16" s="89"/>
      <c r="B16" s="90" t="s">
        <v>1102</v>
      </c>
      <c r="C16" s="49" t="s">
        <v>239</v>
      </c>
      <c r="D16" s="93"/>
      <c r="E16" s="93">
        <v>1400</v>
      </c>
      <c r="F16" s="249"/>
      <c r="G16" s="92">
        <f>G15-E16</f>
        <v>2310</v>
      </c>
      <c r="H16" s="94"/>
    </row>
    <row r="17" spans="1:8" x14ac:dyDescent="0.3">
      <c r="A17" s="89" t="s">
        <v>1159</v>
      </c>
      <c r="B17" s="90" t="s">
        <v>1160</v>
      </c>
      <c r="C17" s="49" t="s">
        <v>239</v>
      </c>
      <c r="D17" s="93"/>
      <c r="E17" s="93">
        <v>890</v>
      </c>
      <c r="F17" s="249"/>
      <c r="G17" s="92">
        <f>G16-E17</f>
        <v>1420</v>
      </c>
      <c r="H17" s="94"/>
    </row>
    <row r="18" spans="1:8" x14ac:dyDescent="0.3">
      <c r="A18" s="133" t="s">
        <v>1207</v>
      </c>
      <c r="B18" s="97"/>
      <c r="C18" s="49" t="s">
        <v>1212</v>
      </c>
      <c r="D18" s="236">
        <v>20000</v>
      </c>
      <c r="E18" s="93"/>
      <c r="F18" s="249"/>
      <c r="G18" s="92">
        <f>G17+D18</f>
        <v>21420</v>
      </c>
      <c r="H18" s="94"/>
    </row>
    <row r="19" spans="1:8" x14ac:dyDescent="0.3">
      <c r="A19" s="89" t="s">
        <v>1336</v>
      </c>
      <c r="B19" s="90" t="s">
        <v>1339</v>
      </c>
      <c r="C19" s="49" t="s">
        <v>1340</v>
      </c>
      <c r="D19" s="236"/>
      <c r="E19" s="93">
        <v>3240</v>
      </c>
      <c r="F19" s="249"/>
      <c r="G19" s="92">
        <f>G18-E19</f>
        <v>18180</v>
      </c>
      <c r="H19" s="94"/>
    </row>
    <row r="20" spans="1:8" x14ac:dyDescent="0.3">
      <c r="A20" s="89" t="s">
        <v>1381</v>
      </c>
      <c r="B20" s="97" t="s">
        <v>1386</v>
      </c>
      <c r="C20" s="49" t="s">
        <v>1384</v>
      </c>
      <c r="D20" s="236"/>
      <c r="E20" s="93">
        <v>350</v>
      </c>
      <c r="F20" s="249"/>
      <c r="G20" s="92">
        <f>G19-E20</f>
        <v>17830</v>
      </c>
      <c r="H20" s="94"/>
    </row>
    <row r="21" spans="1:8" x14ac:dyDescent="0.3">
      <c r="A21" s="89"/>
      <c r="B21" s="97" t="s">
        <v>1387</v>
      </c>
      <c r="C21" s="49" t="s">
        <v>1385</v>
      </c>
      <c r="D21" s="236"/>
      <c r="E21" s="93">
        <v>4590</v>
      </c>
      <c r="F21" s="249"/>
      <c r="G21" s="92">
        <f>G20-E21</f>
        <v>13240</v>
      </c>
      <c r="H21" s="94"/>
    </row>
    <row r="22" spans="1:8" x14ac:dyDescent="0.3">
      <c r="A22" s="89" t="s">
        <v>1443</v>
      </c>
      <c r="B22" s="97" t="s">
        <v>1454</v>
      </c>
      <c r="C22" s="49" t="s">
        <v>1385</v>
      </c>
      <c r="D22" s="236"/>
      <c r="E22" s="93">
        <v>1780</v>
      </c>
      <c r="F22" s="249"/>
      <c r="G22" s="92">
        <f>G21-E22</f>
        <v>11460</v>
      </c>
      <c r="H22" s="94"/>
    </row>
    <row r="23" spans="1:8" x14ac:dyDescent="0.3">
      <c r="A23" s="133" t="s">
        <v>1592</v>
      </c>
      <c r="B23" s="97"/>
      <c r="C23" s="49" t="s">
        <v>1600</v>
      </c>
      <c r="D23" s="236">
        <v>20000</v>
      </c>
      <c r="E23" s="93"/>
      <c r="F23" s="249"/>
      <c r="G23" s="92">
        <f>G22+D23</f>
        <v>31460</v>
      </c>
      <c r="H23" s="94"/>
    </row>
    <row r="24" spans="1:8" x14ac:dyDescent="0.3">
      <c r="A24" s="89" t="s">
        <v>1839</v>
      </c>
      <c r="B24" s="97" t="s">
        <v>1856</v>
      </c>
      <c r="C24" s="49" t="s">
        <v>1384</v>
      </c>
      <c r="D24" s="236"/>
      <c r="E24" s="93">
        <v>890</v>
      </c>
      <c r="F24" s="249"/>
      <c r="G24" s="92">
        <f>G23-E24</f>
        <v>30570</v>
      </c>
      <c r="H24" s="94"/>
    </row>
    <row r="25" spans="1:8" x14ac:dyDescent="0.3">
      <c r="A25" s="89" t="s">
        <v>2221</v>
      </c>
      <c r="B25" s="97" t="s">
        <v>2228</v>
      </c>
      <c r="C25" s="49" t="s">
        <v>1384</v>
      </c>
      <c r="D25" s="236"/>
      <c r="E25" s="93">
        <v>950</v>
      </c>
      <c r="F25" s="249"/>
      <c r="G25" s="92">
        <f>G24-E25-F25</f>
        <v>29620</v>
      </c>
      <c r="H25" s="94"/>
    </row>
    <row r="26" spans="1:8" x14ac:dyDescent="0.3">
      <c r="A26" s="89" t="s">
        <v>2221</v>
      </c>
      <c r="B26" s="97" t="s">
        <v>2227</v>
      </c>
      <c r="C26" s="49" t="s">
        <v>2093</v>
      </c>
      <c r="D26" s="236"/>
      <c r="E26" s="93">
        <v>1980</v>
      </c>
      <c r="F26" s="249"/>
      <c r="G26" s="92">
        <f>G25-E26-F26</f>
        <v>27640</v>
      </c>
      <c r="H26" s="94"/>
    </row>
    <row r="27" spans="1:8" x14ac:dyDescent="0.3">
      <c r="A27" s="89" t="s">
        <v>2230</v>
      </c>
      <c r="B27" s="97" t="s">
        <v>2231</v>
      </c>
      <c r="C27" s="49" t="s">
        <v>2229</v>
      </c>
      <c r="D27" s="236"/>
      <c r="E27" s="93">
        <v>3200</v>
      </c>
      <c r="F27" s="249"/>
      <c r="G27" s="92">
        <f>G26-E27-F27</f>
        <v>24440</v>
      </c>
      <c r="H27" s="94"/>
    </row>
    <row r="28" spans="1:8" x14ac:dyDescent="0.3">
      <c r="A28" s="89" t="s">
        <v>2641</v>
      </c>
      <c r="B28" s="97" t="s">
        <v>2678</v>
      </c>
      <c r="C28" s="49" t="s">
        <v>2681</v>
      </c>
      <c r="D28" s="236"/>
      <c r="E28" s="93">
        <v>1980</v>
      </c>
      <c r="F28" s="249"/>
      <c r="G28" s="92">
        <f>G27-E28-F28</f>
        <v>22460</v>
      </c>
      <c r="H28" s="94">
        <v>2350</v>
      </c>
    </row>
    <row r="29" spans="1:8" x14ac:dyDescent="0.3">
      <c r="A29" s="89"/>
      <c r="B29" s="97"/>
      <c r="C29" s="49" t="s">
        <v>2900</v>
      </c>
      <c r="D29" s="236">
        <v>-16100</v>
      </c>
      <c r="E29" s="93"/>
      <c r="F29" s="249"/>
      <c r="G29" s="92">
        <f>G28+D29</f>
        <v>6360</v>
      </c>
      <c r="H29" s="94"/>
    </row>
    <row r="30" spans="1:8" ht="18.75" x14ac:dyDescent="0.3">
      <c r="A30" s="89"/>
      <c r="B30" s="97"/>
      <c r="C30" s="49" t="s">
        <v>2901</v>
      </c>
      <c r="D30" s="236">
        <v>-6360</v>
      </c>
      <c r="E30" s="93"/>
      <c r="F30" s="249"/>
      <c r="G30" s="256">
        <f>G29+D30</f>
        <v>0</v>
      </c>
      <c r="H30" s="94"/>
    </row>
    <row r="31" spans="1:8" x14ac:dyDescent="0.3">
      <c r="A31" s="133"/>
      <c r="B31" s="97"/>
      <c r="C31" s="49"/>
      <c r="D31" s="236"/>
      <c r="E31" s="93"/>
      <c r="F31" s="249"/>
      <c r="G31" s="92"/>
      <c r="H31" s="94"/>
    </row>
    <row r="32" spans="1:8" x14ac:dyDescent="0.3">
      <c r="A32" s="89"/>
      <c r="B32" s="90"/>
      <c r="C32" s="74" t="s">
        <v>181</v>
      </c>
      <c r="D32" s="93">
        <v>200000</v>
      </c>
      <c r="E32" s="93"/>
      <c r="F32" s="249"/>
      <c r="G32" s="92">
        <f>D32</f>
        <v>200000</v>
      </c>
      <c r="H32" s="94" t="s">
        <v>131</v>
      </c>
    </row>
    <row r="33" spans="1:8" x14ac:dyDescent="0.3">
      <c r="A33" s="89" t="s">
        <v>639</v>
      </c>
      <c r="B33" s="97"/>
      <c r="C33" s="49" t="s">
        <v>775</v>
      </c>
      <c r="D33" s="93">
        <v>-30000</v>
      </c>
      <c r="E33" s="93"/>
      <c r="F33" s="249"/>
      <c r="G33" s="92">
        <f>G32+D33</f>
        <v>170000</v>
      </c>
      <c r="H33" s="94"/>
    </row>
    <row r="34" spans="1:8" x14ac:dyDescent="0.3">
      <c r="A34" s="89" t="s">
        <v>639</v>
      </c>
      <c r="B34" s="97"/>
      <c r="C34" s="49" t="s">
        <v>776</v>
      </c>
      <c r="D34" s="93">
        <v>-20000</v>
      </c>
      <c r="E34" s="93"/>
      <c r="F34" s="249"/>
      <c r="G34" s="92">
        <f>G33+D34</f>
        <v>150000</v>
      </c>
      <c r="H34" s="94"/>
    </row>
    <row r="35" spans="1:8" x14ac:dyDescent="0.3">
      <c r="A35" s="89" t="s">
        <v>742</v>
      </c>
      <c r="B35" s="97"/>
      <c r="C35" s="49" t="s">
        <v>776</v>
      </c>
      <c r="D35" s="236">
        <v>-50000</v>
      </c>
      <c r="E35" s="98"/>
      <c r="F35" s="249"/>
      <c r="G35" s="92">
        <f>G34+D35</f>
        <v>100000</v>
      </c>
      <c r="H35" s="94"/>
    </row>
    <row r="36" spans="1:8" x14ac:dyDescent="0.3">
      <c r="A36" s="89" t="s">
        <v>816</v>
      </c>
      <c r="B36" s="97"/>
      <c r="C36" s="49" t="s">
        <v>775</v>
      </c>
      <c r="D36" s="236">
        <v>-50000</v>
      </c>
      <c r="E36" s="98"/>
      <c r="F36" s="249"/>
      <c r="G36" s="92">
        <f>G35+D36</f>
        <v>50000</v>
      </c>
      <c r="H36" s="94"/>
    </row>
    <row r="37" spans="1:8" x14ac:dyDescent="0.3">
      <c r="A37" s="89" t="s">
        <v>864</v>
      </c>
      <c r="B37" s="97" t="s">
        <v>880</v>
      </c>
      <c r="C37" s="49" t="s">
        <v>180</v>
      </c>
      <c r="D37" s="236"/>
      <c r="E37" s="98">
        <v>4500</v>
      </c>
      <c r="F37" s="249"/>
      <c r="G37" s="92">
        <f>G36-E37</f>
        <v>45500</v>
      </c>
      <c r="H37" s="94"/>
    </row>
    <row r="38" spans="1:8" x14ac:dyDescent="0.3">
      <c r="A38" s="89" t="s">
        <v>885</v>
      </c>
      <c r="B38" s="97" t="s">
        <v>374</v>
      </c>
      <c r="C38" s="49" t="s">
        <v>893</v>
      </c>
      <c r="D38" s="236"/>
      <c r="E38" s="98">
        <v>500</v>
      </c>
      <c r="F38" s="249"/>
      <c r="G38" s="92">
        <f>G37-E38</f>
        <v>45000</v>
      </c>
      <c r="H38" s="94"/>
    </row>
    <row r="39" spans="1:8" x14ac:dyDescent="0.3">
      <c r="A39" s="133">
        <v>22740</v>
      </c>
      <c r="B39" s="97"/>
      <c r="C39" s="49" t="s">
        <v>1157</v>
      </c>
      <c r="D39" s="236">
        <v>-5000</v>
      </c>
      <c r="E39" s="98"/>
      <c r="F39" s="249"/>
      <c r="G39" s="92">
        <f>G38+D39</f>
        <v>40000</v>
      </c>
      <c r="H39" s="94"/>
    </row>
    <row r="40" spans="1:8" x14ac:dyDescent="0.3">
      <c r="A40" s="133" t="s">
        <v>1176</v>
      </c>
      <c r="B40" s="97"/>
      <c r="C40" s="49" t="s">
        <v>775</v>
      </c>
      <c r="D40" s="236">
        <v>-20500</v>
      </c>
      <c r="E40" s="98"/>
      <c r="F40" s="249"/>
      <c r="G40" s="92">
        <f>G39+D40</f>
        <v>19500</v>
      </c>
      <c r="H40" s="94"/>
    </row>
    <row r="41" spans="1:8" x14ac:dyDescent="0.3">
      <c r="A41" s="133" t="s">
        <v>1207</v>
      </c>
      <c r="B41" s="97"/>
      <c r="C41" s="49" t="s">
        <v>1212</v>
      </c>
      <c r="D41" s="236">
        <v>150000</v>
      </c>
      <c r="E41" s="98"/>
      <c r="F41" s="249"/>
      <c r="G41" s="92">
        <f>G40+D41</f>
        <v>169500</v>
      </c>
      <c r="H41" s="94"/>
    </row>
    <row r="42" spans="1:8" x14ac:dyDescent="0.3">
      <c r="A42" s="133" t="s">
        <v>1336</v>
      </c>
      <c r="B42" s="97" t="s">
        <v>1338</v>
      </c>
      <c r="C42" s="49" t="s">
        <v>180</v>
      </c>
      <c r="D42" s="236"/>
      <c r="E42" s="98">
        <v>96270</v>
      </c>
      <c r="F42" s="249"/>
      <c r="G42" s="92">
        <f>G41-E42</f>
        <v>73230</v>
      </c>
      <c r="H42" s="94"/>
    </row>
    <row r="43" spans="1:8" x14ac:dyDescent="0.3">
      <c r="A43" s="133" t="s">
        <v>1315</v>
      </c>
      <c r="B43" s="97" t="s">
        <v>1358</v>
      </c>
      <c r="C43" s="49" t="s">
        <v>1359</v>
      </c>
      <c r="D43" s="236"/>
      <c r="E43" s="98">
        <v>800</v>
      </c>
      <c r="F43" s="249"/>
      <c r="G43" s="92">
        <f>G42-E43</f>
        <v>72430</v>
      </c>
      <c r="H43" s="94"/>
    </row>
    <row r="44" spans="1:8" x14ac:dyDescent="0.3">
      <c r="A44" s="133" t="s">
        <v>1381</v>
      </c>
      <c r="B44" s="97" t="s">
        <v>1382</v>
      </c>
      <c r="C44" s="49" t="s">
        <v>1383</v>
      </c>
      <c r="D44" s="236"/>
      <c r="E44" s="98">
        <v>15250</v>
      </c>
      <c r="F44" s="249"/>
      <c r="G44" s="92">
        <f>G43-E44</f>
        <v>57180</v>
      </c>
      <c r="H44" s="94"/>
    </row>
    <row r="45" spans="1:8" x14ac:dyDescent="0.3">
      <c r="A45" s="133"/>
      <c r="B45" s="97" t="s">
        <v>1528</v>
      </c>
      <c r="C45" s="49" t="s">
        <v>1527</v>
      </c>
      <c r="D45" s="236"/>
      <c r="E45" s="98">
        <v>3350</v>
      </c>
      <c r="F45" s="249"/>
      <c r="G45" s="92">
        <f>G44-E45</f>
        <v>53830</v>
      </c>
      <c r="H45" s="94"/>
    </row>
    <row r="46" spans="1:8" x14ac:dyDescent="0.3">
      <c r="A46" s="133"/>
      <c r="B46" s="97" t="s">
        <v>1529</v>
      </c>
      <c r="C46" s="49" t="s">
        <v>1526</v>
      </c>
      <c r="D46" s="236"/>
      <c r="E46" s="98">
        <v>2500</v>
      </c>
      <c r="F46" s="249"/>
      <c r="G46" s="92">
        <f>G45-E46</f>
        <v>51330</v>
      </c>
      <c r="H46" s="94"/>
    </row>
    <row r="47" spans="1:8" x14ac:dyDescent="0.3">
      <c r="A47" s="133" t="s">
        <v>1592</v>
      </c>
      <c r="B47" s="97"/>
      <c r="C47" s="49" t="s">
        <v>1600</v>
      </c>
      <c r="D47" s="236">
        <v>150000</v>
      </c>
      <c r="E47" s="98"/>
      <c r="F47" s="249"/>
      <c r="G47" s="92">
        <f>G46+D47</f>
        <v>201330</v>
      </c>
      <c r="H47" s="94"/>
    </row>
    <row r="48" spans="1:8" x14ac:dyDescent="0.3">
      <c r="A48" s="133" t="s">
        <v>2215</v>
      </c>
      <c r="B48" s="97" t="s">
        <v>2214</v>
      </c>
      <c r="C48" s="49" t="s">
        <v>1526</v>
      </c>
      <c r="D48" s="236"/>
      <c r="E48" s="98">
        <v>800</v>
      </c>
      <c r="F48" s="249"/>
      <c r="G48" s="92">
        <f t="shared" ref="G48:G53" si="0">G47-E48-F48</f>
        <v>200530</v>
      </c>
      <c r="H48" s="94"/>
    </row>
    <row r="49" spans="1:8" x14ac:dyDescent="0.3">
      <c r="A49" s="133"/>
      <c r="B49" s="97" t="s">
        <v>2217</v>
      </c>
      <c r="C49" s="49" t="s">
        <v>1918</v>
      </c>
      <c r="D49" s="236"/>
      <c r="E49" s="98">
        <v>116320</v>
      </c>
      <c r="F49" s="249"/>
      <c r="G49" s="92">
        <f t="shared" si="0"/>
        <v>84210</v>
      </c>
      <c r="H49" s="94"/>
    </row>
    <row r="50" spans="1:8" x14ac:dyDescent="0.3">
      <c r="A50" s="133" t="s">
        <v>2215</v>
      </c>
      <c r="B50" s="97" t="s">
        <v>2219</v>
      </c>
      <c r="C50" s="49" t="s">
        <v>1918</v>
      </c>
      <c r="D50" s="236"/>
      <c r="E50" s="98">
        <v>650</v>
      </c>
      <c r="F50" s="249"/>
      <c r="G50" s="92">
        <f t="shared" si="0"/>
        <v>83560</v>
      </c>
      <c r="H50" s="94"/>
    </row>
    <row r="51" spans="1:8" x14ac:dyDescent="0.3">
      <c r="A51" s="133" t="s">
        <v>2215</v>
      </c>
      <c r="B51" s="97" t="s">
        <v>2216</v>
      </c>
      <c r="C51" s="49" t="s">
        <v>1526</v>
      </c>
      <c r="D51" s="236"/>
      <c r="E51" s="98">
        <v>1900</v>
      </c>
      <c r="F51" s="249"/>
      <c r="G51" s="92">
        <f t="shared" si="0"/>
        <v>81660</v>
      </c>
      <c r="H51" s="94"/>
    </row>
    <row r="52" spans="1:8" x14ac:dyDescent="0.3">
      <c r="A52" s="133" t="s">
        <v>2480</v>
      </c>
      <c r="B52" s="97" t="s">
        <v>2492</v>
      </c>
      <c r="C52" s="49" t="s">
        <v>2327</v>
      </c>
      <c r="D52" s="236"/>
      <c r="E52" s="98">
        <v>50020</v>
      </c>
      <c r="F52" s="249"/>
      <c r="G52" s="92">
        <f t="shared" si="0"/>
        <v>31640</v>
      </c>
      <c r="H52" s="94"/>
    </row>
    <row r="53" spans="1:8" x14ac:dyDescent="0.3">
      <c r="A53" s="133"/>
      <c r="B53" s="97"/>
      <c r="C53" s="49" t="s">
        <v>2218</v>
      </c>
      <c r="D53" s="236"/>
      <c r="E53" s="98">
        <v>5400</v>
      </c>
      <c r="F53" s="249"/>
      <c r="G53" s="92">
        <f t="shared" si="0"/>
        <v>26240</v>
      </c>
      <c r="H53" s="94"/>
    </row>
    <row r="54" spans="1:8" x14ac:dyDescent="0.3">
      <c r="A54" s="133"/>
      <c r="B54" s="97"/>
      <c r="C54" s="49" t="s">
        <v>2325</v>
      </c>
      <c r="D54" s="236">
        <v>50204.2</v>
      </c>
      <c r="E54" s="98"/>
      <c r="F54" s="249"/>
      <c r="G54" s="92">
        <f>G53+D54</f>
        <v>76444.2</v>
      </c>
      <c r="H54" s="94"/>
    </row>
    <row r="55" spans="1:8" x14ac:dyDescent="0.3">
      <c r="A55" s="133"/>
      <c r="B55" s="97"/>
      <c r="C55" s="49" t="s">
        <v>2326</v>
      </c>
      <c r="D55" s="236">
        <v>17025.8</v>
      </c>
      <c r="E55" s="98"/>
      <c r="F55" s="249"/>
      <c r="G55" s="92">
        <f>G54+D55</f>
        <v>93470</v>
      </c>
      <c r="H55" s="94"/>
    </row>
    <row r="56" spans="1:8" ht="18.75" x14ac:dyDescent="0.3">
      <c r="A56" s="133" t="s">
        <v>2403</v>
      </c>
      <c r="B56" s="97" t="s">
        <v>2491</v>
      </c>
      <c r="C56" s="49" t="s">
        <v>2327</v>
      </c>
      <c r="D56" s="236"/>
      <c r="E56" s="98">
        <v>93470</v>
      </c>
      <c r="F56" s="249"/>
      <c r="G56" s="256">
        <f>G55-E56-F56</f>
        <v>0</v>
      </c>
      <c r="H56" s="94"/>
    </row>
    <row r="57" spans="1:8" x14ac:dyDescent="0.3">
      <c r="A57" s="133" t="s">
        <v>2403</v>
      </c>
      <c r="B57" s="97"/>
      <c r="C57" s="49" t="s">
        <v>2473</v>
      </c>
      <c r="D57" s="236">
        <v>103364.54</v>
      </c>
      <c r="E57" s="98"/>
      <c r="F57" s="254"/>
      <c r="G57" s="92">
        <f>D57</f>
        <v>103364.54</v>
      </c>
      <c r="H57" s="94"/>
    </row>
    <row r="58" spans="1:8" ht="18.75" x14ac:dyDescent="0.3">
      <c r="A58" s="133"/>
      <c r="B58" s="97"/>
      <c r="C58" s="49" t="s">
        <v>675</v>
      </c>
      <c r="D58" s="236"/>
      <c r="E58" s="98"/>
      <c r="F58" s="254">
        <v>103364.54</v>
      </c>
      <c r="G58" s="256">
        <f>G57-E58-F58</f>
        <v>0</v>
      </c>
      <c r="H58" s="94"/>
    </row>
    <row r="59" spans="1:8" ht="18.75" x14ac:dyDescent="0.3">
      <c r="A59" s="133"/>
      <c r="B59" s="97"/>
      <c r="C59" s="49"/>
      <c r="D59" s="236">
        <v>50271.37</v>
      </c>
      <c r="E59" s="98"/>
      <c r="F59" s="254"/>
      <c r="G59" s="256">
        <f>D59</f>
        <v>50271.37</v>
      </c>
      <c r="H59" s="94"/>
    </row>
    <row r="60" spans="1:8" ht="18.75" x14ac:dyDescent="0.3">
      <c r="A60" s="133" t="s">
        <v>2867</v>
      </c>
      <c r="B60" s="97"/>
      <c r="C60" s="49" t="s">
        <v>2327</v>
      </c>
      <c r="D60" s="236"/>
      <c r="E60" s="98"/>
      <c r="F60" s="254">
        <v>50271.37</v>
      </c>
      <c r="G60" s="256">
        <f>G59-E60-F60</f>
        <v>0</v>
      </c>
      <c r="H60" s="94"/>
    </row>
    <row r="61" spans="1:8" x14ac:dyDescent="0.3">
      <c r="A61" s="133"/>
      <c r="B61" s="97"/>
      <c r="C61" s="49"/>
      <c r="D61" s="236"/>
      <c r="E61" s="98"/>
      <c r="F61" s="249"/>
      <c r="G61" s="92"/>
      <c r="H61" s="94"/>
    </row>
    <row r="62" spans="1:8" x14ac:dyDescent="0.3">
      <c r="A62" s="89"/>
      <c r="B62" s="90"/>
      <c r="C62" s="74" t="s">
        <v>182</v>
      </c>
      <c r="D62" s="93">
        <v>30000</v>
      </c>
      <c r="E62" s="93"/>
      <c r="F62" s="249"/>
      <c r="G62" s="92">
        <f>D62</f>
        <v>30000</v>
      </c>
      <c r="H62" s="94" t="s">
        <v>131</v>
      </c>
    </row>
    <row r="63" spans="1:8" x14ac:dyDescent="0.3">
      <c r="A63" s="89" t="s">
        <v>816</v>
      </c>
      <c r="B63" s="90"/>
      <c r="C63" s="49" t="s">
        <v>775</v>
      </c>
      <c r="D63" s="236">
        <v>-10000</v>
      </c>
      <c r="E63" s="93"/>
      <c r="F63" s="249"/>
      <c r="G63" s="92">
        <f>G62+D63</f>
        <v>20000</v>
      </c>
      <c r="H63" s="94"/>
    </row>
    <row r="64" spans="1:8" x14ac:dyDescent="0.3">
      <c r="A64" s="89" t="s">
        <v>1131</v>
      </c>
      <c r="B64" s="90"/>
      <c r="C64" s="49" t="s">
        <v>1132</v>
      </c>
      <c r="D64" s="236">
        <v>-20000</v>
      </c>
      <c r="E64" s="93"/>
      <c r="F64" s="249"/>
      <c r="G64" s="240">
        <f>G63+D64</f>
        <v>0</v>
      </c>
      <c r="H64" s="94"/>
    </row>
    <row r="65" spans="1:8" x14ac:dyDescent="0.3">
      <c r="A65" s="133" t="s">
        <v>1592</v>
      </c>
      <c r="B65" s="97"/>
      <c r="C65" s="49" t="s">
        <v>1600</v>
      </c>
      <c r="D65" s="236">
        <v>72000</v>
      </c>
      <c r="E65" s="93"/>
      <c r="F65" s="249"/>
      <c r="G65" s="240">
        <f>G64+D65</f>
        <v>72000</v>
      </c>
      <c r="H65" s="94"/>
    </row>
    <row r="66" spans="1:8" x14ac:dyDescent="0.3">
      <c r="A66" s="133" t="s">
        <v>2403</v>
      </c>
      <c r="B66" s="97"/>
      <c r="C66" s="74" t="s">
        <v>2456</v>
      </c>
      <c r="D66" s="236">
        <v>-60000</v>
      </c>
      <c r="E66" s="93"/>
      <c r="F66" s="249"/>
      <c r="G66" s="240">
        <f>G65+D66</f>
        <v>12000</v>
      </c>
      <c r="H66" s="94"/>
    </row>
    <row r="67" spans="1:8" x14ac:dyDescent="0.3">
      <c r="A67" s="133"/>
      <c r="B67" s="97"/>
      <c r="C67" s="74"/>
      <c r="D67" s="236">
        <v>-12000</v>
      </c>
      <c r="E67" s="93"/>
      <c r="F67" s="249"/>
      <c r="G67" s="240">
        <f>G66+D67</f>
        <v>0</v>
      </c>
      <c r="H67" s="94"/>
    </row>
    <row r="68" spans="1:8" x14ac:dyDescent="0.3">
      <c r="A68" s="89"/>
      <c r="B68" s="90"/>
      <c r="C68" s="49"/>
      <c r="D68" s="236"/>
      <c r="E68" s="93"/>
      <c r="F68" s="249"/>
      <c r="G68" s="92"/>
      <c r="H68" s="94"/>
    </row>
    <row r="69" spans="1:8" x14ac:dyDescent="0.3">
      <c r="A69" s="89"/>
      <c r="B69" s="90"/>
      <c r="C69" s="74" t="s">
        <v>183</v>
      </c>
      <c r="D69" s="93">
        <v>150000</v>
      </c>
      <c r="E69" s="93"/>
      <c r="F69" s="249"/>
      <c r="G69" s="92">
        <f>D69</f>
        <v>150000</v>
      </c>
      <c r="H69" s="94" t="s">
        <v>131</v>
      </c>
    </row>
    <row r="70" spans="1:8" x14ac:dyDescent="0.3">
      <c r="A70" s="89" t="s">
        <v>213</v>
      </c>
      <c r="B70" s="90" t="s">
        <v>223</v>
      </c>
      <c r="C70" s="49" t="s">
        <v>224</v>
      </c>
      <c r="D70" s="93"/>
      <c r="E70" s="93">
        <v>31500</v>
      </c>
      <c r="F70" s="249"/>
      <c r="G70" s="92">
        <f t="shared" ref="G70:G76" si="1">G69-E70</f>
        <v>118500</v>
      </c>
      <c r="H70" s="94"/>
    </row>
    <row r="71" spans="1:8" x14ac:dyDescent="0.3">
      <c r="A71" s="89" t="s">
        <v>339</v>
      </c>
      <c r="B71" s="90" t="s">
        <v>349</v>
      </c>
      <c r="C71" s="49" t="s">
        <v>350</v>
      </c>
      <c r="D71" s="93"/>
      <c r="E71" s="93">
        <v>26700</v>
      </c>
      <c r="F71" s="249"/>
      <c r="G71" s="92">
        <f t="shared" si="1"/>
        <v>91800</v>
      </c>
      <c r="H71" s="94"/>
    </row>
    <row r="72" spans="1:8" x14ac:dyDescent="0.3">
      <c r="A72" s="89" t="s">
        <v>630</v>
      </c>
      <c r="B72" s="90" t="s">
        <v>629</v>
      </c>
      <c r="C72" s="49" t="s">
        <v>631</v>
      </c>
      <c r="D72" s="93"/>
      <c r="E72" s="93">
        <v>277.39999999999998</v>
      </c>
      <c r="F72" s="249"/>
      <c r="G72" s="92">
        <f t="shared" si="1"/>
        <v>91522.6</v>
      </c>
      <c r="H72" s="94"/>
    </row>
    <row r="73" spans="1:8" x14ac:dyDescent="0.3">
      <c r="A73" s="89" t="s">
        <v>632</v>
      </c>
      <c r="B73" s="90" t="s">
        <v>633</v>
      </c>
      <c r="C73" s="49" t="s">
        <v>387</v>
      </c>
      <c r="D73" s="93"/>
      <c r="E73" s="93">
        <v>37230</v>
      </c>
      <c r="F73" s="249"/>
      <c r="G73" s="92">
        <f t="shared" si="1"/>
        <v>54292.600000000006</v>
      </c>
      <c r="H73" s="94"/>
    </row>
    <row r="74" spans="1:8" x14ac:dyDescent="0.3">
      <c r="A74" s="89" t="s">
        <v>793</v>
      </c>
      <c r="B74" s="90" t="s">
        <v>811</v>
      </c>
      <c r="C74" s="49" t="s">
        <v>656</v>
      </c>
      <c r="D74" s="236"/>
      <c r="E74" s="93">
        <v>27000</v>
      </c>
      <c r="F74" s="249"/>
      <c r="G74" s="92">
        <f t="shared" si="1"/>
        <v>27292.600000000006</v>
      </c>
      <c r="H74" s="94"/>
    </row>
    <row r="75" spans="1:8" x14ac:dyDescent="0.3">
      <c r="A75" s="89" t="s">
        <v>988</v>
      </c>
      <c r="B75" s="90" t="s">
        <v>989</v>
      </c>
      <c r="C75" s="49" t="s">
        <v>892</v>
      </c>
      <c r="D75" s="236"/>
      <c r="E75" s="93">
        <v>22230</v>
      </c>
      <c r="F75" s="249"/>
      <c r="G75" s="92">
        <f t="shared" si="1"/>
        <v>5062.6000000000058</v>
      </c>
      <c r="H75" s="94"/>
    </row>
    <row r="76" spans="1:8" x14ac:dyDescent="0.3">
      <c r="A76" s="89" t="s">
        <v>1019</v>
      </c>
      <c r="B76" s="90" t="s">
        <v>1027</v>
      </c>
      <c r="C76" s="49" t="s">
        <v>631</v>
      </c>
      <c r="D76" s="236"/>
      <c r="E76" s="93">
        <v>278.39999999999998</v>
      </c>
      <c r="F76" s="249"/>
      <c r="G76" s="92">
        <f t="shared" si="1"/>
        <v>4784.2000000000062</v>
      </c>
      <c r="H76" s="94"/>
    </row>
    <row r="77" spans="1:8" x14ac:dyDescent="0.3">
      <c r="A77" s="89" t="s">
        <v>1128</v>
      </c>
      <c r="B77" s="90"/>
      <c r="C77" s="49" t="s">
        <v>2328</v>
      </c>
      <c r="D77" s="236">
        <v>20000</v>
      </c>
      <c r="E77" s="93"/>
      <c r="F77" s="249"/>
      <c r="G77" s="92">
        <f>G76+D77</f>
        <v>24784.200000000004</v>
      </c>
      <c r="H77" s="94"/>
    </row>
    <row r="78" spans="1:8" x14ac:dyDescent="0.3">
      <c r="A78" s="89" t="s">
        <v>1128</v>
      </c>
      <c r="B78" s="90"/>
      <c r="C78" s="49" t="s">
        <v>2329</v>
      </c>
      <c r="D78" s="236">
        <v>3000</v>
      </c>
      <c r="E78" s="93"/>
      <c r="F78" s="249"/>
      <c r="G78" s="92">
        <f>G77+D78-F78</f>
        <v>27784.200000000004</v>
      </c>
      <c r="H78" s="94"/>
    </row>
    <row r="79" spans="1:8" x14ac:dyDescent="0.3">
      <c r="A79" s="89" t="s">
        <v>1159</v>
      </c>
      <c r="B79" s="90" t="s">
        <v>1161</v>
      </c>
      <c r="C79" s="49" t="s">
        <v>1064</v>
      </c>
      <c r="D79" s="236"/>
      <c r="E79" s="93">
        <v>27700</v>
      </c>
      <c r="F79" s="249"/>
      <c r="G79" s="92">
        <f>G78-E79</f>
        <v>84.200000000004366</v>
      </c>
      <c r="H79" s="94"/>
    </row>
    <row r="80" spans="1:8" x14ac:dyDescent="0.3">
      <c r="A80" s="133" t="s">
        <v>1207</v>
      </c>
      <c r="B80" s="97"/>
      <c r="C80" s="49" t="s">
        <v>1212</v>
      </c>
      <c r="D80" s="236">
        <v>50000</v>
      </c>
      <c r="E80" s="93"/>
      <c r="F80" s="249"/>
      <c r="G80" s="92">
        <f>G79+D80</f>
        <v>50084.200000000004</v>
      </c>
      <c r="H80" s="94"/>
    </row>
    <row r="81" spans="1:8" x14ac:dyDescent="0.3">
      <c r="A81" s="89" t="s">
        <v>1315</v>
      </c>
      <c r="B81" s="90" t="s">
        <v>1347</v>
      </c>
      <c r="C81" s="49" t="s">
        <v>1348</v>
      </c>
      <c r="D81" s="236"/>
      <c r="E81" s="93">
        <v>20300</v>
      </c>
      <c r="F81" s="249"/>
      <c r="G81" s="92">
        <f>G80-E81</f>
        <v>29784.200000000004</v>
      </c>
      <c r="H81" s="94"/>
    </row>
    <row r="82" spans="1:8" x14ac:dyDescent="0.3">
      <c r="A82" s="89" t="s">
        <v>1481</v>
      </c>
      <c r="B82" s="90" t="s">
        <v>1480</v>
      </c>
      <c r="C82" s="49" t="s">
        <v>1479</v>
      </c>
      <c r="D82" s="93"/>
      <c r="E82" s="93">
        <v>22650</v>
      </c>
      <c r="F82" s="249"/>
      <c r="G82" s="92">
        <f>G81-E82</f>
        <v>7134.2000000000044</v>
      </c>
      <c r="H82" s="94"/>
    </row>
    <row r="83" spans="1:8" x14ac:dyDescent="0.3">
      <c r="A83" s="133" t="s">
        <v>1592</v>
      </c>
      <c r="B83" s="97"/>
      <c r="C83" s="49" t="s">
        <v>1600</v>
      </c>
      <c r="D83" s="236">
        <v>120000</v>
      </c>
      <c r="E83" s="93"/>
      <c r="F83" s="249"/>
      <c r="G83" s="92">
        <f>G82+D83</f>
        <v>127134.20000000001</v>
      </c>
      <c r="H83" s="94"/>
    </row>
    <row r="84" spans="1:8" x14ac:dyDescent="0.3">
      <c r="A84" s="133" t="s">
        <v>1685</v>
      </c>
      <c r="B84" s="97" t="s">
        <v>1690</v>
      </c>
      <c r="C84" s="49" t="s">
        <v>1599</v>
      </c>
      <c r="D84" s="236"/>
      <c r="E84" s="93">
        <v>22500</v>
      </c>
      <c r="F84" s="249"/>
      <c r="G84" s="92">
        <f>G83-E84</f>
        <v>104634.20000000001</v>
      </c>
      <c r="H84" s="94"/>
    </row>
    <row r="85" spans="1:8" x14ac:dyDescent="0.3">
      <c r="A85" s="133" t="s">
        <v>2067</v>
      </c>
      <c r="B85" s="97" t="s">
        <v>2068</v>
      </c>
      <c r="C85" s="49" t="s">
        <v>1983</v>
      </c>
      <c r="D85" s="236"/>
      <c r="E85" s="93">
        <v>12430</v>
      </c>
      <c r="F85" s="249"/>
      <c r="G85" s="92">
        <f>G84-E85-F85</f>
        <v>92204.200000000012</v>
      </c>
      <c r="H85" s="94"/>
    </row>
    <row r="86" spans="1:8" x14ac:dyDescent="0.3">
      <c r="A86" s="133"/>
      <c r="B86" s="97"/>
      <c r="C86" s="49" t="s">
        <v>2070</v>
      </c>
      <c r="D86" s="236"/>
      <c r="E86" s="93">
        <v>29630</v>
      </c>
      <c r="F86" s="249"/>
      <c r="G86" s="92">
        <f t="shared" ref="G86" si="2">G85-E86-F86</f>
        <v>62574.200000000012</v>
      </c>
      <c r="H86" s="94"/>
    </row>
    <row r="87" spans="1:8" x14ac:dyDescent="0.3">
      <c r="A87" s="133"/>
      <c r="B87" s="97"/>
      <c r="C87" s="49" t="s">
        <v>2638</v>
      </c>
      <c r="D87" s="236">
        <v>16630</v>
      </c>
      <c r="E87" s="93"/>
      <c r="F87" s="249"/>
      <c r="G87" s="92">
        <f>G86+D87</f>
        <v>79204.200000000012</v>
      </c>
      <c r="H87" s="94"/>
    </row>
    <row r="88" spans="1:8" x14ac:dyDescent="0.3">
      <c r="A88" s="133"/>
      <c r="B88" s="97"/>
      <c r="C88" s="49" t="s">
        <v>2071</v>
      </c>
      <c r="D88" s="236"/>
      <c r="E88" s="93">
        <v>23200</v>
      </c>
      <c r="F88" s="249"/>
      <c r="G88" s="92">
        <f>G87-E88-F88</f>
        <v>56004.200000000012</v>
      </c>
      <c r="H88" s="94"/>
    </row>
    <row r="89" spans="1:8" ht="18.75" x14ac:dyDescent="0.3">
      <c r="A89" s="133"/>
      <c r="B89" s="97"/>
      <c r="C89" s="49" t="s">
        <v>2330</v>
      </c>
      <c r="D89" s="236">
        <v>-50204.2</v>
      </c>
      <c r="E89" s="93"/>
      <c r="F89" s="249"/>
      <c r="G89" s="256">
        <f>G88+D89</f>
        <v>5800.0000000000146</v>
      </c>
      <c r="H89" s="94"/>
    </row>
    <row r="90" spans="1:8" ht="18.75" x14ac:dyDescent="0.3">
      <c r="A90" s="133"/>
      <c r="B90" s="97"/>
      <c r="C90" s="49"/>
      <c r="D90" s="236">
        <v>-5800</v>
      </c>
      <c r="E90" s="93"/>
      <c r="F90" s="249"/>
      <c r="G90" s="256">
        <f>G89+D90</f>
        <v>1.4551915228366852E-11</v>
      </c>
      <c r="H90" s="94"/>
    </row>
    <row r="91" spans="1:8" x14ac:dyDescent="0.3">
      <c r="A91" s="89"/>
      <c r="B91" s="90"/>
      <c r="C91" s="49"/>
      <c r="D91" s="93"/>
      <c r="E91" s="93"/>
      <c r="F91" s="249"/>
      <c r="G91" s="92"/>
      <c r="H91" s="94"/>
    </row>
    <row r="92" spans="1:8" x14ac:dyDescent="0.3">
      <c r="A92" s="89"/>
      <c r="B92" s="90"/>
      <c r="C92" s="74" t="s">
        <v>184</v>
      </c>
      <c r="D92" s="93">
        <v>150000</v>
      </c>
      <c r="E92" s="93"/>
      <c r="F92" s="249"/>
      <c r="G92" s="92">
        <f>D92</f>
        <v>150000</v>
      </c>
      <c r="H92" s="94" t="s">
        <v>131</v>
      </c>
    </row>
    <row r="93" spans="1:8" x14ac:dyDescent="0.3">
      <c r="A93" s="89" t="s">
        <v>229</v>
      </c>
      <c r="B93" s="90" t="s">
        <v>241</v>
      </c>
      <c r="C93" s="49" t="s">
        <v>242</v>
      </c>
      <c r="D93" s="93"/>
      <c r="E93" s="93">
        <v>9084.2999999999993</v>
      </c>
      <c r="F93" s="249"/>
      <c r="G93" s="92">
        <f>G92-E93</f>
        <v>140915.70000000001</v>
      </c>
      <c r="H93" s="94"/>
    </row>
    <row r="94" spans="1:8" x14ac:dyDescent="0.3">
      <c r="A94" s="89"/>
      <c r="B94" s="90" t="s">
        <v>243</v>
      </c>
      <c r="C94" s="49" t="s">
        <v>244</v>
      </c>
      <c r="D94" s="93"/>
      <c r="E94" s="93">
        <v>4606.3500000000004</v>
      </c>
      <c r="F94" s="249"/>
      <c r="G94" s="92">
        <f>G93-E94</f>
        <v>136309.35</v>
      </c>
      <c r="H94" s="94"/>
    </row>
    <row r="95" spans="1:8" x14ac:dyDescent="0.3">
      <c r="A95" s="89" t="s">
        <v>326</v>
      </c>
      <c r="B95" s="90" t="s">
        <v>332</v>
      </c>
      <c r="C95" s="49" t="s">
        <v>331</v>
      </c>
      <c r="D95" s="93"/>
      <c r="E95" s="93">
        <v>3228.19</v>
      </c>
      <c r="F95" s="249"/>
      <c r="G95" s="92">
        <f>G94-E95</f>
        <v>133081.16</v>
      </c>
      <c r="H95" s="94"/>
    </row>
    <row r="96" spans="1:8" x14ac:dyDescent="0.3">
      <c r="A96" s="89" t="s">
        <v>742</v>
      </c>
      <c r="B96" s="90"/>
      <c r="C96" s="49" t="s">
        <v>776</v>
      </c>
      <c r="D96" s="236">
        <v>-50000</v>
      </c>
      <c r="E96" s="93"/>
      <c r="F96" s="249"/>
      <c r="G96" s="92">
        <f>G95+D96</f>
        <v>83081.16</v>
      </c>
      <c r="H96" s="94"/>
    </row>
    <row r="97" spans="1:8" x14ac:dyDescent="0.3">
      <c r="A97" s="89" t="s">
        <v>766</v>
      </c>
      <c r="B97" s="90" t="s">
        <v>1137</v>
      </c>
      <c r="C97" s="49" t="s">
        <v>1025</v>
      </c>
      <c r="D97" s="236"/>
      <c r="E97" s="93">
        <v>3264.57</v>
      </c>
      <c r="F97" s="249"/>
      <c r="G97" s="92">
        <f>G96-E97</f>
        <v>79816.59</v>
      </c>
      <c r="H97" s="94"/>
    </row>
    <row r="98" spans="1:8" x14ac:dyDescent="0.3">
      <c r="A98" s="89" t="s">
        <v>816</v>
      </c>
      <c r="B98" s="90" t="s">
        <v>830</v>
      </c>
      <c r="C98" s="49" t="s">
        <v>831</v>
      </c>
      <c r="D98" s="236"/>
      <c r="E98" s="93">
        <v>3000</v>
      </c>
      <c r="F98" s="249"/>
      <c r="G98" s="92">
        <f>G97-E98</f>
        <v>76816.59</v>
      </c>
      <c r="H98" s="94"/>
    </row>
    <row r="99" spans="1:8" x14ac:dyDescent="0.3">
      <c r="A99" s="89" t="s">
        <v>816</v>
      </c>
      <c r="B99" s="90"/>
      <c r="C99" s="49" t="s">
        <v>775</v>
      </c>
      <c r="D99" s="236">
        <v>-30000</v>
      </c>
      <c r="E99" s="93"/>
      <c r="F99" s="249"/>
      <c r="G99" s="92">
        <f>G98+D99</f>
        <v>46816.59</v>
      </c>
      <c r="H99" s="94"/>
    </row>
    <row r="100" spans="1:8" x14ac:dyDescent="0.3">
      <c r="A100" s="89" t="s">
        <v>885</v>
      </c>
      <c r="B100" s="90" t="s">
        <v>896</v>
      </c>
      <c r="C100" s="49" t="s">
        <v>244</v>
      </c>
      <c r="D100" s="236"/>
      <c r="E100" s="93">
        <v>7300</v>
      </c>
      <c r="F100" s="249"/>
      <c r="G100" s="92">
        <f>G99-E100</f>
        <v>39516.589999999997</v>
      </c>
      <c r="H100" s="94"/>
    </row>
    <row r="101" spans="1:8" x14ac:dyDescent="0.3">
      <c r="A101" s="89" t="s">
        <v>904</v>
      </c>
      <c r="B101" s="90" t="s">
        <v>907</v>
      </c>
      <c r="C101" s="49" t="s">
        <v>1025</v>
      </c>
      <c r="D101" s="236"/>
      <c r="E101" s="93">
        <v>3608.04</v>
      </c>
      <c r="F101" s="249"/>
      <c r="G101" s="92">
        <f>G100-E101</f>
        <v>35908.549999999996</v>
      </c>
      <c r="H101" s="94"/>
    </row>
    <row r="102" spans="1:8" x14ac:dyDescent="0.3">
      <c r="A102" s="89" t="s">
        <v>1019</v>
      </c>
      <c r="B102" s="90" t="s">
        <v>1026</v>
      </c>
      <c r="C102" s="49" t="s">
        <v>244</v>
      </c>
      <c r="D102" s="236"/>
      <c r="E102" s="93">
        <v>6872.61</v>
      </c>
      <c r="F102" s="249"/>
      <c r="G102" s="92">
        <f>G101-E102</f>
        <v>29035.939999999995</v>
      </c>
      <c r="H102" s="94"/>
    </row>
    <row r="103" spans="1:8" x14ac:dyDescent="0.3">
      <c r="A103" s="89" t="s">
        <v>1061</v>
      </c>
      <c r="B103" s="90" t="s">
        <v>1100</v>
      </c>
      <c r="C103" s="49" t="s">
        <v>331</v>
      </c>
      <c r="D103" s="236"/>
      <c r="E103" s="93">
        <v>3745</v>
      </c>
      <c r="F103" s="249"/>
      <c r="G103" s="92">
        <f>G102-E103</f>
        <v>25290.939999999995</v>
      </c>
      <c r="H103" s="94"/>
    </row>
    <row r="104" spans="1:8" x14ac:dyDescent="0.3">
      <c r="A104" s="89" t="s">
        <v>1131</v>
      </c>
      <c r="B104" s="90"/>
      <c r="C104" s="49" t="s">
        <v>1132</v>
      </c>
      <c r="D104" s="236">
        <v>-3000</v>
      </c>
      <c r="E104" s="93"/>
      <c r="F104" s="249"/>
      <c r="G104" s="92">
        <f>G103+D104</f>
        <v>22290.939999999995</v>
      </c>
      <c r="H104" s="94"/>
    </row>
    <row r="105" spans="1:8" x14ac:dyDescent="0.3">
      <c r="A105" s="133" t="s">
        <v>1176</v>
      </c>
      <c r="B105" s="97"/>
      <c r="C105" s="49" t="s">
        <v>775</v>
      </c>
      <c r="D105" s="236">
        <v>-19000</v>
      </c>
      <c r="E105" s="93"/>
      <c r="F105" s="249"/>
      <c r="G105" s="92">
        <f>G104+D105</f>
        <v>3290.9399999999951</v>
      </c>
      <c r="H105" s="94"/>
    </row>
    <row r="106" spans="1:8" x14ac:dyDescent="0.3">
      <c r="A106" s="133" t="s">
        <v>1207</v>
      </c>
      <c r="B106" s="97"/>
      <c r="C106" s="49" t="s">
        <v>1212</v>
      </c>
      <c r="D106" s="236">
        <v>30000</v>
      </c>
      <c r="E106" s="93"/>
      <c r="F106" s="249"/>
      <c r="G106" s="92">
        <f>G105+D106</f>
        <v>33290.939999999995</v>
      </c>
      <c r="H106" s="94"/>
    </row>
    <row r="107" spans="1:8" x14ac:dyDescent="0.3">
      <c r="A107" s="133" t="s">
        <v>1158</v>
      </c>
      <c r="B107" s="97" t="s">
        <v>1213</v>
      </c>
      <c r="C107" s="49" t="s">
        <v>1214</v>
      </c>
      <c r="D107" s="236"/>
      <c r="E107" s="93">
        <v>5350</v>
      </c>
      <c r="F107" s="249"/>
      <c r="G107" s="92">
        <f>G106-E107</f>
        <v>27940.939999999995</v>
      </c>
      <c r="H107" s="94"/>
    </row>
    <row r="108" spans="1:8" x14ac:dyDescent="0.3">
      <c r="A108" s="133" t="s">
        <v>1336</v>
      </c>
      <c r="B108" s="97" t="s">
        <v>1341</v>
      </c>
      <c r="C108" s="49" t="s">
        <v>244</v>
      </c>
      <c r="D108" s="236"/>
      <c r="E108" s="93">
        <v>9705.11</v>
      </c>
      <c r="F108" s="249"/>
      <c r="G108" s="92">
        <f>G107-E108</f>
        <v>18235.829999999994</v>
      </c>
      <c r="H108" s="94"/>
    </row>
    <row r="109" spans="1:8" x14ac:dyDescent="0.3">
      <c r="A109" s="133" t="s">
        <v>1485</v>
      </c>
      <c r="B109" s="97" t="s">
        <v>1682</v>
      </c>
      <c r="C109" s="49" t="s">
        <v>1512</v>
      </c>
      <c r="D109" s="236"/>
      <c r="E109" s="93">
        <v>8170.52</v>
      </c>
      <c r="F109" s="249"/>
      <c r="G109" s="92">
        <f>G108-E109</f>
        <v>10065.309999999994</v>
      </c>
      <c r="H109" s="94"/>
    </row>
    <row r="110" spans="1:8" x14ac:dyDescent="0.3">
      <c r="A110" s="133" t="s">
        <v>1541</v>
      </c>
      <c r="B110" s="97"/>
      <c r="C110" s="49" t="s">
        <v>1601</v>
      </c>
      <c r="D110" s="236">
        <v>625.39</v>
      </c>
      <c r="E110" s="93"/>
      <c r="F110" s="249"/>
      <c r="G110" s="92">
        <f>G109+D110</f>
        <v>10690.699999999993</v>
      </c>
      <c r="H110" s="94"/>
    </row>
    <row r="111" spans="1:8" x14ac:dyDescent="0.3">
      <c r="A111" s="133" t="s">
        <v>1592</v>
      </c>
      <c r="B111" s="97"/>
      <c r="C111" s="49" t="s">
        <v>1600</v>
      </c>
      <c r="D111" s="236">
        <v>100000</v>
      </c>
      <c r="E111" s="93"/>
      <c r="F111" s="249"/>
      <c r="G111" s="92">
        <f>G110+D111</f>
        <v>110690.7</v>
      </c>
      <c r="H111" s="94"/>
    </row>
    <row r="112" spans="1:8" x14ac:dyDescent="0.3">
      <c r="A112" s="133" t="s">
        <v>1685</v>
      </c>
      <c r="B112" s="97" t="s">
        <v>1688</v>
      </c>
      <c r="C112" s="49"/>
      <c r="D112" s="236"/>
      <c r="E112" s="93">
        <v>2832.29</v>
      </c>
      <c r="F112" s="249"/>
      <c r="G112" s="92">
        <f>G111-E112</f>
        <v>107858.41</v>
      </c>
      <c r="H112" s="94"/>
    </row>
    <row r="113" spans="1:8" x14ac:dyDescent="0.3">
      <c r="A113" s="133"/>
      <c r="B113" s="97" t="s">
        <v>2224</v>
      </c>
      <c r="C113" s="49" t="s">
        <v>2223</v>
      </c>
      <c r="D113" s="236"/>
      <c r="E113" s="98">
        <v>10641.12</v>
      </c>
      <c r="F113" s="249"/>
      <c r="G113" s="92">
        <f>G112-E113-F113</f>
        <v>97217.290000000008</v>
      </c>
      <c r="H113" s="94"/>
    </row>
    <row r="114" spans="1:8" x14ac:dyDescent="0.3">
      <c r="A114" s="133" t="s">
        <v>2221</v>
      </c>
      <c r="B114" s="97" t="s">
        <v>2226</v>
      </c>
      <c r="C114" s="49" t="s">
        <v>2225</v>
      </c>
      <c r="D114" s="236"/>
      <c r="E114" s="98">
        <v>3940.81</v>
      </c>
      <c r="F114" s="249"/>
      <c r="G114" s="92">
        <f t="shared" ref="G114:G115" si="3">G113-E114-F114</f>
        <v>93276.48000000001</v>
      </c>
      <c r="H114" s="94"/>
    </row>
    <row r="115" spans="1:8" x14ac:dyDescent="0.3">
      <c r="A115" s="133" t="s">
        <v>2221</v>
      </c>
      <c r="B115" s="97" t="s">
        <v>2222</v>
      </c>
      <c r="C115" s="49" t="s">
        <v>2220</v>
      </c>
      <c r="D115" s="236"/>
      <c r="E115" s="93">
        <v>27048.799999999999</v>
      </c>
      <c r="F115" s="249"/>
      <c r="G115" s="92">
        <f t="shared" si="3"/>
        <v>66227.680000000008</v>
      </c>
      <c r="H115" s="94"/>
    </row>
    <row r="116" spans="1:8" x14ac:dyDescent="0.3">
      <c r="A116" s="133"/>
      <c r="B116" s="97"/>
      <c r="C116" s="49" t="s">
        <v>2331</v>
      </c>
      <c r="D116" s="236">
        <v>-17025.8</v>
      </c>
      <c r="E116" s="93"/>
      <c r="F116" s="249"/>
      <c r="G116" s="92">
        <f>G115+D116</f>
        <v>49201.880000000005</v>
      </c>
      <c r="H116" s="94"/>
    </row>
    <row r="117" spans="1:8" x14ac:dyDescent="0.3">
      <c r="A117" s="133"/>
      <c r="B117" s="97"/>
      <c r="C117" s="49" t="s">
        <v>2332</v>
      </c>
      <c r="D117" s="236">
        <v>-645</v>
      </c>
      <c r="E117" s="93"/>
      <c r="F117" s="249"/>
      <c r="G117" s="92">
        <f>G116+D117</f>
        <v>48556.880000000005</v>
      </c>
      <c r="H117" s="94"/>
    </row>
    <row r="118" spans="1:8" ht="18.75" x14ac:dyDescent="0.3">
      <c r="A118" s="133"/>
      <c r="B118" s="97"/>
      <c r="C118" s="49"/>
      <c r="D118" s="236">
        <v>-48556.88</v>
      </c>
      <c r="E118" s="93"/>
      <c r="F118" s="249"/>
      <c r="G118" s="256">
        <f>G117+D118</f>
        <v>0</v>
      </c>
      <c r="H118" s="94"/>
    </row>
    <row r="119" spans="1:8" x14ac:dyDescent="0.3">
      <c r="A119" s="89"/>
      <c r="B119" s="90"/>
      <c r="C119" s="49"/>
      <c r="D119" s="93"/>
      <c r="E119" s="93"/>
      <c r="F119" s="249"/>
      <c r="G119" s="92"/>
      <c r="H119" s="94"/>
    </row>
    <row r="120" spans="1:8" x14ac:dyDescent="0.3">
      <c r="A120" s="89"/>
      <c r="B120" s="90"/>
      <c r="C120" s="74" t="s">
        <v>185</v>
      </c>
      <c r="D120" s="93">
        <v>15000</v>
      </c>
      <c r="E120" s="93"/>
      <c r="F120" s="249"/>
      <c r="G120" s="92">
        <f>D120</f>
        <v>15000</v>
      </c>
      <c r="H120" s="94"/>
    </row>
    <row r="121" spans="1:8" x14ac:dyDescent="0.3">
      <c r="A121" s="89" t="s">
        <v>1061</v>
      </c>
      <c r="B121" s="90" t="s">
        <v>1103</v>
      </c>
      <c r="C121" s="49" t="s">
        <v>1104</v>
      </c>
      <c r="D121" s="93"/>
      <c r="E121" s="93">
        <v>8875</v>
      </c>
      <c r="F121" s="249"/>
      <c r="G121" s="92">
        <f>G120-E121</f>
        <v>6125</v>
      </c>
      <c r="H121" s="94"/>
    </row>
    <row r="122" spans="1:8" ht="18.75" x14ac:dyDescent="0.3">
      <c r="A122" s="89" t="s">
        <v>1186</v>
      </c>
      <c r="B122" s="90"/>
      <c r="C122" s="49" t="s">
        <v>1449</v>
      </c>
      <c r="D122" s="93"/>
      <c r="E122" s="268">
        <v>-25</v>
      </c>
      <c r="F122" s="249"/>
      <c r="G122" s="92">
        <f>G121-E122</f>
        <v>6150</v>
      </c>
      <c r="H122" s="94"/>
    </row>
    <row r="123" spans="1:8" ht="18.75" x14ac:dyDescent="0.3">
      <c r="A123" s="133" t="s">
        <v>1592</v>
      </c>
      <c r="B123" s="97"/>
      <c r="C123" s="49" t="s">
        <v>1600</v>
      </c>
      <c r="D123" s="236">
        <v>8000</v>
      </c>
      <c r="E123" s="268"/>
      <c r="F123" s="249"/>
      <c r="G123" s="92">
        <f>G122+D123</f>
        <v>14150</v>
      </c>
      <c r="H123" s="94"/>
    </row>
    <row r="124" spans="1:8" ht="18.75" x14ac:dyDescent="0.3">
      <c r="A124" s="133" t="s">
        <v>2641</v>
      </c>
      <c r="B124" s="97" t="s">
        <v>2640</v>
      </c>
      <c r="C124" s="49" t="s">
        <v>2459</v>
      </c>
      <c r="D124" s="236"/>
      <c r="E124" s="268">
        <v>12840</v>
      </c>
      <c r="F124" s="249"/>
      <c r="G124" s="92">
        <f>G123-E124-F124</f>
        <v>1310</v>
      </c>
      <c r="H124" s="94"/>
    </row>
    <row r="125" spans="1:8" ht="18.75" x14ac:dyDescent="0.3">
      <c r="A125" s="133"/>
      <c r="B125" s="97"/>
      <c r="C125" s="49" t="s">
        <v>2901</v>
      </c>
      <c r="D125" s="236">
        <v>-1310</v>
      </c>
      <c r="E125" s="268"/>
      <c r="F125" s="249"/>
      <c r="G125" s="256">
        <f>G124+D125</f>
        <v>0</v>
      </c>
      <c r="H125" s="94"/>
    </row>
    <row r="126" spans="1:8" ht="18.75" x14ac:dyDescent="0.3">
      <c r="A126" s="89"/>
      <c r="B126" s="90"/>
      <c r="C126" s="49"/>
      <c r="D126" s="93"/>
      <c r="E126" s="268"/>
      <c r="F126" s="249"/>
      <c r="G126" s="92"/>
      <c r="H126" s="94"/>
    </row>
    <row r="127" spans="1:8" x14ac:dyDescent="0.3">
      <c r="A127" s="89"/>
      <c r="B127" s="90"/>
      <c r="C127" s="74" t="s">
        <v>141</v>
      </c>
      <c r="D127" s="93">
        <v>100000</v>
      </c>
      <c r="E127" s="93"/>
      <c r="F127" s="249"/>
      <c r="G127" s="92">
        <f>D127</f>
        <v>100000</v>
      </c>
      <c r="H127" s="94"/>
    </row>
    <row r="128" spans="1:8" x14ac:dyDescent="0.3">
      <c r="A128" s="89" t="s">
        <v>213</v>
      </c>
      <c r="B128" s="90" t="s">
        <v>227</v>
      </c>
      <c r="C128" s="49" t="s">
        <v>228</v>
      </c>
      <c r="D128" s="93"/>
      <c r="E128" s="136">
        <v>5850</v>
      </c>
      <c r="F128" s="249"/>
      <c r="G128" s="92">
        <f t="shared" ref="G128:G144" si="4">G127-E128</f>
        <v>94150</v>
      </c>
      <c r="H128" s="94"/>
    </row>
    <row r="129" spans="1:8" x14ac:dyDescent="0.3">
      <c r="A129" s="89" t="s">
        <v>229</v>
      </c>
      <c r="B129" s="90" t="s">
        <v>232</v>
      </c>
      <c r="C129" s="49" t="s">
        <v>233</v>
      </c>
      <c r="D129" s="93"/>
      <c r="E129" s="136">
        <v>1020</v>
      </c>
      <c r="F129" s="249"/>
      <c r="G129" s="92">
        <f t="shared" si="4"/>
        <v>93130</v>
      </c>
      <c r="H129" s="94"/>
    </row>
    <row r="130" spans="1:8" x14ac:dyDescent="0.3">
      <c r="A130" s="89"/>
      <c r="B130" s="90" t="s">
        <v>251</v>
      </c>
      <c r="C130" s="49" t="s">
        <v>240</v>
      </c>
      <c r="D130" s="93"/>
      <c r="E130" s="136">
        <v>1960</v>
      </c>
      <c r="F130" s="249"/>
      <c r="G130" s="92">
        <f t="shared" si="4"/>
        <v>91170</v>
      </c>
      <c r="H130" s="94"/>
    </row>
    <row r="131" spans="1:8" x14ac:dyDescent="0.3">
      <c r="A131" s="89" t="s">
        <v>249</v>
      </c>
      <c r="B131" s="90" t="s">
        <v>252</v>
      </c>
      <c r="C131" s="49" t="s">
        <v>253</v>
      </c>
      <c r="D131" s="93"/>
      <c r="E131" s="136">
        <v>8240</v>
      </c>
      <c r="F131" s="249"/>
      <c r="G131" s="92">
        <f t="shared" si="4"/>
        <v>82930</v>
      </c>
      <c r="H131" s="94"/>
    </row>
    <row r="132" spans="1:8" x14ac:dyDescent="0.3">
      <c r="A132" s="89" t="s">
        <v>254</v>
      </c>
      <c r="B132" s="90" t="s">
        <v>257</v>
      </c>
      <c r="C132" s="49" t="s">
        <v>258</v>
      </c>
      <c r="D132" s="93"/>
      <c r="E132" s="136">
        <v>1240</v>
      </c>
      <c r="F132" s="249"/>
      <c r="G132" s="92">
        <f t="shared" si="4"/>
        <v>81690</v>
      </c>
      <c r="H132" s="94"/>
    </row>
    <row r="133" spans="1:8" x14ac:dyDescent="0.3">
      <c r="A133" s="89" t="s">
        <v>275</v>
      </c>
      <c r="B133" s="90" t="s">
        <v>277</v>
      </c>
      <c r="C133" s="49" t="s">
        <v>278</v>
      </c>
      <c r="D133" s="93"/>
      <c r="E133" s="136">
        <v>3190</v>
      </c>
      <c r="F133" s="249"/>
      <c r="G133" s="92">
        <f t="shared" si="4"/>
        <v>78500</v>
      </c>
      <c r="H133" s="94"/>
    </row>
    <row r="134" spans="1:8" x14ac:dyDescent="0.3">
      <c r="A134" s="89" t="s">
        <v>376</v>
      </c>
      <c r="B134" s="90" t="s">
        <v>384</v>
      </c>
      <c r="C134" s="49" t="s">
        <v>706</v>
      </c>
      <c r="D134" s="93"/>
      <c r="E134" s="136">
        <v>6810</v>
      </c>
      <c r="F134" s="249"/>
      <c r="G134" s="92">
        <f t="shared" si="4"/>
        <v>71690</v>
      </c>
      <c r="H134" s="94"/>
    </row>
    <row r="135" spans="1:8" x14ac:dyDescent="0.3">
      <c r="A135" s="89"/>
      <c r="B135" s="90" t="s">
        <v>385</v>
      </c>
      <c r="C135" s="49" t="s">
        <v>2114</v>
      </c>
      <c r="D135" s="93"/>
      <c r="E135" s="136">
        <v>5150</v>
      </c>
      <c r="F135" s="249"/>
      <c r="G135" s="92">
        <f t="shared" si="4"/>
        <v>66540</v>
      </c>
      <c r="H135" s="94"/>
    </row>
    <row r="136" spans="1:8" x14ac:dyDescent="0.3">
      <c r="A136" s="89" t="s">
        <v>654</v>
      </c>
      <c r="B136" s="90" t="s">
        <v>657</v>
      </c>
      <c r="C136" s="49" t="s">
        <v>705</v>
      </c>
      <c r="D136" s="93"/>
      <c r="E136" s="136">
        <v>2060</v>
      </c>
      <c r="F136" s="249"/>
      <c r="G136" s="92">
        <f t="shared" si="4"/>
        <v>64480</v>
      </c>
      <c r="H136" s="94"/>
    </row>
    <row r="137" spans="1:8" x14ac:dyDescent="0.3">
      <c r="A137" s="89" t="s">
        <v>658</v>
      </c>
      <c r="B137" s="90" t="s">
        <v>703</v>
      </c>
      <c r="C137" s="49" t="s">
        <v>702</v>
      </c>
      <c r="D137" s="93"/>
      <c r="E137" s="136">
        <v>1440</v>
      </c>
      <c r="F137" s="249"/>
      <c r="G137" s="92">
        <f t="shared" si="4"/>
        <v>63040</v>
      </c>
      <c r="H137" s="94"/>
    </row>
    <row r="138" spans="1:8" x14ac:dyDescent="0.3">
      <c r="A138" s="89"/>
      <c r="B138" s="90" t="s">
        <v>704</v>
      </c>
      <c r="C138" s="49" t="s">
        <v>707</v>
      </c>
      <c r="D138" s="93"/>
      <c r="E138" s="136">
        <v>2400</v>
      </c>
      <c r="F138" s="249"/>
      <c r="G138" s="92">
        <f t="shared" si="4"/>
        <v>60640</v>
      </c>
      <c r="H138" s="94"/>
    </row>
    <row r="139" spans="1:8" x14ac:dyDescent="0.3">
      <c r="A139" s="89"/>
      <c r="B139" s="90" t="s">
        <v>709</v>
      </c>
      <c r="C139" s="49" t="s">
        <v>708</v>
      </c>
      <c r="D139" s="93"/>
      <c r="E139" s="136">
        <v>7340</v>
      </c>
      <c r="F139" s="249"/>
      <c r="G139" s="92">
        <f t="shared" si="4"/>
        <v>53300</v>
      </c>
      <c r="H139" s="94"/>
    </row>
    <row r="140" spans="1:8" ht="18.75" x14ac:dyDescent="0.3">
      <c r="A140" s="89"/>
      <c r="B140" s="90"/>
      <c r="C140" s="49" t="s">
        <v>1453</v>
      </c>
      <c r="D140" s="93"/>
      <c r="E140" s="283">
        <v>-820</v>
      </c>
      <c r="F140" s="249"/>
      <c r="G140" s="92">
        <f t="shared" si="4"/>
        <v>54120</v>
      </c>
      <c r="H140" s="94"/>
    </row>
    <row r="141" spans="1:8" x14ac:dyDescent="0.3">
      <c r="A141" s="89" t="s">
        <v>790</v>
      </c>
      <c r="B141" s="90" t="s">
        <v>802</v>
      </c>
      <c r="C141" s="49" t="s">
        <v>803</v>
      </c>
      <c r="D141" s="236"/>
      <c r="E141" s="136">
        <v>1420</v>
      </c>
      <c r="F141" s="249"/>
      <c r="G141" s="92">
        <f t="shared" si="4"/>
        <v>52700</v>
      </c>
      <c r="H141" s="94"/>
    </row>
    <row r="142" spans="1:8" x14ac:dyDescent="0.3">
      <c r="A142" s="89" t="s">
        <v>793</v>
      </c>
      <c r="B142" s="90" t="s">
        <v>814</v>
      </c>
      <c r="C142" s="49" t="s">
        <v>815</v>
      </c>
      <c r="D142" s="236"/>
      <c r="E142" s="136">
        <v>1900</v>
      </c>
      <c r="F142" s="249"/>
      <c r="G142" s="92">
        <f t="shared" si="4"/>
        <v>50800</v>
      </c>
      <c r="H142" s="94"/>
    </row>
    <row r="143" spans="1:8" x14ac:dyDescent="0.3">
      <c r="A143" s="89" t="s">
        <v>816</v>
      </c>
      <c r="B143" s="90" t="s">
        <v>824</v>
      </c>
      <c r="C143" s="49" t="s">
        <v>823</v>
      </c>
      <c r="D143" s="236"/>
      <c r="E143" s="136">
        <v>1880</v>
      </c>
      <c r="F143" s="249"/>
      <c r="G143" s="92">
        <f t="shared" si="4"/>
        <v>48920</v>
      </c>
      <c r="H143" s="94"/>
    </row>
    <row r="144" spans="1:8" x14ac:dyDescent="0.3">
      <c r="A144" s="89"/>
      <c r="B144" s="90" t="s">
        <v>1474</v>
      </c>
      <c r="C144" s="49" t="s">
        <v>826</v>
      </c>
      <c r="D144" s="236"/>
      <c r="E144" s="136">
        <v>5510</v>
      </c>
      <c r="F144" s="249"/>
      <c r="G144" s="92">
        <f t="shared" si="4"/>
        <v>43410</v>
      </c>
      <c r="H144" s="94"/>
    </row>
    <row r="145" spans="1:8" x14ac:dyDescent="0.3">
      <c r="A145" s="89" t="s">
        <v>816</v>
      </c>
      <c r="B145" s="90"/>
      <c r="C145" s="49" t="s">
        <v>775</v>
      </c>
      <c r="D145" s="236">
        <v>-10000</v>
      </c>
      <c r="E145" s="136"/>
      <c r="F145" s="249"/>
      <c r="G145" s="92">
        <f>G144+D145</f>
        <v>33410</v>
      </c>
      <c r="H145" s="94"/>
    </row>
    <row r="146" spans="1:8" x14ac:dyDescent="0.3">
      <c r="A146" s="89" t="s">
        <v>969</v>
      </c>
      <c r="B146" s="90" t="s">
        <v>972</v>
      </c>
      <c r="C146" s="49" t="s">
        <v>973</v>
      </c>
      <c r="D146" s="236"/>
      <c r="E146" s="136">
        <v>5385</v>
      </c>
      <c r="F146" s="249"/>
      <c r="G146" s="92">
        <f t="shared" ref="G146:G155" si="5">G145-E146</f>
        <v>28025</v>
      </c>
      <c r="H146" s="94"/>
    </row>
    <row r="147" spans="1:8" x14ac:dyDescent="0.3">
      <c r="A147" s="89"/>
      <c r="B147" s="90" t="s">
        <v>977</v>
      </c>
      <c r="C147" s="49" t="s">
        <v>976</v>
      </c>
      <c r="D147" s="236"/>
      <c r="E147" s="136">
        <v>1106</v>
      </c>
      <c r="F147" s="249"/>
      <c r="G147" s="92">
        <f t="shared" si="5"/>
        <v>26919</v>
      </c>
      <c r="H147" s="94"/>
    </row>
    <row r="148" spans="1:8" x14ac:dyDescent="0.3">
      <c r="A148" s="89"/>
      <c r="B148" s="90" t="s">
        <v>979</v>
      </c>
      <c r="C148" s="49" t="s">
        <v>980</v>
      </c>
      <c r="D148" s="236"/>
      <c r="E148" s="136">
        <v>1500</v>
      </c>
      <c r="F148" s="249"/>
      <c r="G148" s="92">
        <f t="shared" si="5"/>
        <v>25419</v>
      </c>
      <c r="H148" s="94"/>
    </row>
    <row r="149" spans="1:8" x14ac:dyDescent="0.3">
      <c r="A149" s="89" t="s">
        <v>988</v>
      </c>
      <c r="B149" s="90" t="s">
        <v>992</v>
      </c>
      <c r="C149" s="49" t="s">
        <v>993</v>
      </c>
      <c r="D149" s="236"/>
      <c r="E149" s="136">
        <v>2976</v>
      </c>
      <c r="F149" s="249"/>
      <c r="G149" s="92">
        <f t="shared" si="5"/>
        <v>22443</v>
      </c>
      <c r="H149" s="94"/>
    </row>
    <row r="150" spans="1:8" x14ac:dyDescent="0.3">
      <c r="A150" s="89"/>
      <c r="B150" s="90" t="s">
        <v>995</v>
      </c>
      <c r="C150" s="49" t="s">
        <v>996</v>
      </c>
      <c r="D150" s="236"/>
      <c r="E150" s="136">
        <v>2000</v>
      </c>
      <c r="F150" s="249"/>
      <c r="G150" s="92">
        <f t="shared" si="5"/>
        <v>20443</v>
      </c>
      <c r="H150" s="94"/>
    </row>
    <row r="151" spans="1:8" x14ac:dyDescent="0.3">
      <c r="A151" s="89" t="s">
        <v>1030</v>
      </c>
      <c r="B151" s="90" t="s">
        <v>1031</v>
      </c>
      <c r="C151" s="49" t="s">
        <v>1032</v>
      </c>
      <c r="D151" s="236"/>
      <c r="E151" s="136">
        <v>2258</v>
      </c>
      <c r="F151" s="249"/>
      <c r="G151" s="92">
        <f t="shared" si="5"/>
        <v>18185</v>
      </c>
      <c r="H151" s="94"/>
    </row>
    <row r="152" spans="1:8" x14ac:dyDescent="0.3">
      <c r="A152" s="89" t="s">
        <v>1003</v>
      </c>
      <c r="B152" s="90" t="s">
        <v>1476</v>
      </c>
      <c r="C152" s="49" t="s">
        <v>1477</v>
      </c>
      <c r="D152" s="236"/>
      <c r="E152" s="136">
        <v>2000</v>
      </c>
      <c r="F152" s="249"/>
      <c r="G152" s="92">
        <f t="shared" si="5"/>
        <v>16185</v>
      </c>
      <c r="H152" s="94"/>
    </row>
    <row r="153" spans="1:8" x14ac:dyDescent="0.3">
      <c r="A153" s="89" t="s">
        <v>1074</v>
      </c>
      <c r="B153" s="90" t="s">
        <v>1069</v>
      </c>
      <c r="C153" s="49" t="s">
        <v>1070</v>
      </c>
      <c r="D153" s="236"/>
      <c r="E153" s="136">
        <v>1800</v>
      </c>
      <c r="F153" s="249"/>
      <c r="G153" s="92">
        <f t="shared" si="5"/>
        <v>14385</v>
      </c>
      <c r="H153" s="94"/>
    </row>
    <row r="154" spans="1:8" x14ac:dyDescent="0.3">
      <c r="A154" s="89" t="s">
        <v>1065</v>
      </c>
      <c r="B154" s="90" t="s">
        <v>1073</v>
      </c>
      <c r="C154" s="49" t="s">
        <v>996</v>
      </c>
      <c r="D154" s="236"/>
      <c r="E154" s="136">
        <v>3450</v>
      </c>
      <c r="F154" s="249"/>
      <c r="G154" s="92">
        <f t="shared" si="5"/>
        <v>10935</v>
      </c>
      <c r="H154" s="94"/>
    </row>
    <row r="155" spans="1:8" x14ac:dyDescent="0.3">
      <c r="A155" s="89" t="s">
        <v>1128</v>
      </c>
      <c r="B155" s="90" t="s">
        <v>1129</v>
      </c>
      <c r="C155" s="49" t="s">
        <v>1130</v>
      </c>
      <c r="D155" s="236"/>
      <c r="E155" s="136">
        <v>2586</v>
      </c>
      <c r="F155" s="249"/>
      <c r="G155" s="92">
        <f t="shared" si="5"/>
        <v>8349</v>
      </c>
      <c r="H155" s="94"/>
    </row>
    <row r="156" spans="1:8" x14ac:dyDescent="0.3">
      <c r="A156" s="133" t="s">
        <v>1207</v>
      </c>
      <c r="B156" s="97"/>
      <c r="C156" s="49" t="s">
        <v>1212</v>
      </c>
      <c r="D156" s="236">
        <v>10000</v>
      </c>
      <c r="E156" s="136"/>
      <c r="F156" s="249"/>
      <c r="G156" s="92">
        <f>G155+D156</f>
        <v>18349</v>
      </c>
      <c r="H156" s="94"/>
    </row>
    <row r="157" spans="1:8" x14ac:dyDescent="0.3">
      <c r="A157" s="133" t="s">
        <v>1315</v>
      </c>
      <c r="B157" s="97" t="s">
        <v>1355</v>
      </c>
      <c r="C157" s="49" t="s">
        <v>1372</v>
      </c>
      <c r="D157" s="236"/>
      <c r="E157" s="136">
        <v>1000</v>
      </c>
      <c r="F157" s="249"/>
      <c r="G157" s="92">
        <f>G156-E157</f>
        <v>17349</v>
      </c>
      <c r="H157" s="94"/>
    </row>
    <row r="158" spans="1:8" x14ac:dyDescent="0.3">
      <c r="A158" s="133" t="s">
        <v>1327</v>
      </c>
      <c r="B158" s="97" t="s">
        <v>1368</v>
      </c>
      <c r="C158" s="49" t="s">
        <v>1433</v>
      </c>
      <c r="D158" s="236"/>
      <c r="E158" s="136">
        <v>1790</v>
      </c>
      <c r="F158" s="249"/>
      <c r="G158" s="92">
        <f t="shared" ref="G158:G165" si="6">G157-E158</f>
        <v>15559</v>
      </c>
      <c r="H158" s="94"/>
    </row>
    <row r="159" spans="1:8" x14ac:dyDescent="0.3">
      <c r="A159" s="133"/>
      <c r="B159" s="97"/>
      <c r="C159" s="49" t="s">
        <v>1373</v>
      </c>
      <c r="D159" s="236"/>
      <c r="E159" s="136">
        <v>1650</v>
      </c>
      <c r="F159" s="249"/>
      <c r="G159" s="92">
        <f t="shared" si="6"/>
        <v>13909</v>
      </c>
      <c r="H159" s="94"/>
    </row>
    <row r="160" spans="1:8" x14ac:dyDescent="0.3">
      <c r="A160" s="133" t="s">
        <v>1430</v>
      </c>
      <c r="B160" s="97" t="s">
        <v>1434</v>
      </c>
      <c r="C160" s="49" t="s">
        <v>1032</v>
      </c>
      <c r="D160" s="236"/>
      <c r="E160" s="136">
        <v>2240</v>
      </c>
      <c r="F160" s="249"/>
      <c r="G160" s="92">
        <f t="shared" si="6"/>
        <v>11669</v>
      </c>
      <c r="H160" s="94"/>
    </row>
    <row r="161" spans="1:8" x14ac:dyDescent="0.3">
      <c r="A161" s="133" t="s">
        <v>1430</v>
      </c>
      <c r="B161" s="97" t="s">
        <v>1435</v>
      </c>
      <c r="C161" s="49" t="s">
        <v>1436</v>
      </c>
      <c r="D161" s="236"/>
      <c r="E161" s="136">
        <v>2588</v>
      </c>
      <c r="F161" s="249"/>
      <c r="G161" s="92">
        <f t="shared" si="6"/>
        <v>9081</v>
      </c>
      <c r="H161" s="94"/>
    </row>
    <row r="162" spans="1:8" ht="18.75" x14ac:dyDescent="0.3">
      <c r="A162" s="133"/>
      <c r="B162" s="97"/>
      <c r="C162" s="49" t="s">
        <v>1475</v>
      </c>
      <c r="D162" s="236"/>
      <c r="E162" s="283">
        <v>-1980</v>
      </c>
      <c r="F162" s="249"/>
      <c r="G162" s="92">
        <f t="shared" si="6"/>
        <v>11061</v>
      </c>
      <c r="H162" s="94"/>
    </row>
    <row r="163" spans="1:8" ht="18.75" x14ac:dyDescent="0.3">
      <c r="A163" s="133" t="s">
        <v>1464</v>
      </c>
      <c r="B163" s="97" t="s">
        <v>1478</v>
      </c>
      <c r="C163" s="49" t="s">
        <v>973</v>
      </c>
      <c r="D163" s="236"/>
      <c r="E163" s="283">
        <v>3880</v>
      </c>
      <c r="F163" s="249"/>
      <c r="G163" s="92">
        <f t="shared" si="6"/>
        <v>7181</v>
      </c>
      <c r="H163" s="94"/>
    </row>
    <row r="164" spans="1:8" ht="18.75" x14ac:dyDescent="0.3">
      <c r="A164" s="133" t="s">
        <v>1492</v>
      </c>
      <c r="B164" s="97" t="s">
        <v>1495</v>
      </c>
      <c r="C164" s="49" t="s">
        <v>1494</v>
      </c>
      <c r="D164" s="236"/>
      <c r="E164" s="283">
        <v>5120</v>
      </c>
      <c r="F164" s="249"/>
      <c r="G164" s="92">
        <f t="shared" si="6"/>
        <v>2061</v>
      </c>
      <c r="H164" s="94"/>
    </row>
    <row r="165" spans="1:8" ht="18.75" x14ac:dyDescent="0.3">
      <c r="A165" s="133"/>
      <c r="B165" s="97" t="s">
        <v>1519</v>
      </c>
      <c r="C165" s="49" t="s">
        <v>1518</v>
      </c>
      <c r="D165" s="236"/>
      <c r="E165" s="283">
        <v>1520</v>
      </c>
      <c r="F165" s="249"/>
      <c r="G165" s="92">
        <f t="shared" si="6"/>
        <v>541</v>
      </c>
      <c r="H165" s="94"/>
    </row>
    <row r="166" spans="1:8" ht="18.75" x14ac:dyDescent="0.3">
      <c r="A166" s="133"/>
      <c r="B166" s="97"/>
      <c r="C166" s="49" t="s">
        <v>1534</v>
      </c>
      <c r="D166" s="236">
        <v>10000</v>
      </c>
      <c r="E166" s="283"/>
      <c r="F166" s="249"/>
      <c r="G166" s="92">
        <f>G165+D166</f>
        <v>10541</v>
      </c>
      <c r="H166" s="94"/>
    </row>
    <row r="167" spans="1:8" ht="18.75" x14ac:dyDescent="0.3">
      <c r="A167" s="133"/>
      <c r="B167" s="97" t="s">
        <v>1521</v>
      </c>
      <c r="C167" s="49" t="s">
        <v>1520</v>
      </c>
      <c r="D167" s="236"/>
      <c r="E167" s="283">
        <v>2024</v>
      </c>
      <c r="F167" s="249"/>
      <c r="G167" s="92">
        <f>G166-E167</f>
        <v>8517</v>
      </c>
      <c r="H167" s="94"/>
    </row>
    <row r="168" spans="1:8" ht="18.75" x14ac:dyDescent="0.3">
      <c r="A168" s="133"/>
      <c r="B168" s="97" t="s">
        <v>1525</v>
      </c>
      <c r="C168" s="49" t="s">
        <v>1070</v>
      </c>
      <c r="D168" s="236"/>
      <c r="E168" s="283">
        <v>1510</v>
      </c>
      <c r="F168" s="249"/>
      <c r="G168" s="92">
        <f>G167-E168</f>
        <v>7007</v>
      </c>
      <c r="H168" s="94"/>
    </row>
    <row r="169" spans="1:8" ht="18.75" x14ac:dyDescent="0.3">
      <c r="A169" s="133"/>
      <c r="B169" s="97"/>
      <c r="C169" s="49" t="s">
        <v>1532</v>
      </c>
      <c r="D169" s="236"/>
      <c r="E169" s="283">
        <v>3888</v>
      </c>
      <c r="F169" s="249"/>
      <c r="G169" s="92">
        <f>G168-E169</f>
        <v>3119</v>
      </c>
      <c r="H169" s="94"/>
    </row>
    <row r="170" spans="1:8" ht="18.75" x14ac:dyDescent="0.3">
      <c r="A170" s="133" t="s">
        <v>1568</v>
      </c>
      <c r="B170" s="97" t="s">
        <v>1583</v>
      </c>
      <c r="C170" s="187" t="s">
        <v>1584</v>
      </c>
      <c r="D170" s="236"/>
      <c r="E170" s="283">
        <v>2884</v>
      </c>
      <c r="F170" s="249"/>
      <c r="G170" s="92">
        <f>G169-E170</f>
        <v>235</v>
      </c>
      <c r="H170" s="94"/>
    </row>
    <row r="171" spans="1:8" ht="18.75" x14ac:dyDescent="0.3">
      <c r="A171" s="133" t="s">
        <v>1592</v>
      </c>
      <c r="B171" s="97"/>
      <c r="C171" s="49" t="s">
        <v>1600</v>
      </c>
      <c r="D171" s="236">
        <v>100000</v>
      </c>
      <c r="E171" s="283"/>
      <c r="F171" s="249"/>
      <c r="G171" s="92">
        <f>G170+D171</f>
        <v>100235</v>
      </c>
      <c r="H171" s="94"/>
    </row>
    <row r="172" spans="1:8" ht="18.75" x14ac:dyDescent="0.3">
      <c r="A172" s="133" t="s">
        <v>1592</v>
      </c>
      <c r="B172" s="97" t="s">
        <v>1607</v>
      </c>
      <c r="C172" s="187" t="s">
        <v>708</v>
      </c>
      <c r="D172" s="236"/>
      <c r="E172" s="283">
        <v>1900</v>
      </c>
      <c r="F172" s="249"/>
      <c r="G172" s="92">
        <f t="shared" ref="G172:G181" si="7">G171-E172</f>
        <v>98335</v>
      </c>
      <c r="H172" s="94"/>
    </row>
    <row r="173" spans="1:8" ht="18.75" x14ac:dyDescent="0.3">
      <c r="A173" s="133"/>
      <c r="B173" s="97" t="s">
        <v>1608</v>
      </c>
      <c r="C173" s="187" t="s">
        <v>1609</v>
      </c>
      <c r="D173" s="236"/>
      <c r="E173" s="283">
        <v>3885</v>
      </c>
      <c r="F173" s="249"/>
      <c r="G173" s="92">
        <f t="shared" si="7"/>
        <v>94450</v>
      </c>
      <c r="H173" s="94"/>
    </row>
    <row r="174" spans="1:8" ht="18.75" x14ac:dyDescent="0.3">
      <c r="A174" s="133" t="s">
        <v>1606</v>
      </c>
      <c r="B174" s="97" t="s">
        <v>1616</v>
      </c>
      <c r="C174" s="187" t="s">
        <v>1617</v>
      </c>
      <c r="D174" s="236"/>
      <c r="E174" s="283">
        <v>1324</v>
      </c>
      <c r="F174" s="249"/>
      <c r="G174" s="92">
        <f t="shared" si="7"/>
        <v>93126</v>
      </c>
      <c r="H174" s="94"/>
    </row>
    <row r="175" spans="1:8" ht="18.75" x14ac:dyDescent="0.3">
      <c r="A175" s="133" t="s">
        <v>1701</v>
      </c>
      <c r="B175" s="97" t="s">
        <v>1724</v>
      </c>
      <c r="C175" s="49" t="s">
        <v>702</v>
      </c>
      <c r="D175" s="236"/>
      <c r="E175" s="283">
        <v>1360</v>
      </c>
      <c r="F175" s="249"/>
      <c r="G175" s="92">
        <f t="shared" si="7"/>
        <v>91766</v>
      </c>
      <c r="H175" s="94"/>
    </row>
    <row r="176" spans="1:8" ht="18.75" x14ac:dyDescent="0.3">
      <c r="A176" s="133" t="s">
        <v>1839</v>
      </c>
      <c r="B176" s="97" t="s">
        <v>1854</v>
      </c>
      <c r="C176" s="187" t="s">
        <v>1855</v>
      </c>
      <c r="D176" s="236"/>
      <c r="E176" s="283">
        <v>940</v>
      </c>
      <c r="F176" s="249"/>
      <c r="G176" s="92">
        <f t="shared" si="7"/>
        <v>90826</v>
      </c>
      <c r="H176" s="94"/>
    </row>
    <row r="177" spans="1:8" ht="18.75" x14ac:dyDescent="0.3">
      <c r="A177" s="133"/>
      <c r="B177" s="97" t="s">
        <v>1890</v>
      </c>
      <c r="C177" s="187" t="s">
        <v>1889</v>
      </c>
      <c r="D177" s="236"/>
      <c r="E177" s="283">
        <v>2160</v>
      </c>
      <c r="F177" s="249"/>
      <c r="G177" s="92">
        <f t="shared" si="7"/>
        <v>88666</v>
      </c>
      <c r="H177" s="94"/>
    </row>
    <row r="178" spans="1:8" ht="18.75" x14ac:dyDescent="0.3">
      <c r="A178" s="133"/>
      <c r="B178" s="97" t="s">
        <v>1892</v>
      </c>
      <c r="C178" s="187" t="s">
        <v>1891</v>
      </c>
      <c r="D178" s="236"/>
      <c r="E178" s="283">
        <v>1920</v>
      </c>
      <c r="F178" s="249"/>
      <c r="G178" s="92">
        <f t="shared" si="7"/>
        <v>86746</v>
      </c>
      <c r="H178" s="94"/>
    </row>
    <row r="179" spans="1:8" ht="18.75" x14ac:dyDescent="0.3">
      <c r="A179" s="133"/>
      <c r="B179" s="97"/>
      <c r="C179" s="187" t="s">
        <v>1936</v>
      </c>
      <c r="D179" s="236"/>
      <c r="E179" s="283">
        <v>-400</v>
      </c>
      <c r="F179" s="249"/>
      <c r="G179" s="92">
        <f t="shared" si="7"/>
        <v>87146</v>
      </c>
      <c r="H179" s="94"/>
    </row>
    <row r="180" spans="1:8" ht="18.75" x14ac:dyDescent="0.3">
      <c r="A180" s="133" t="s">
        <v>1942</v>
      </c>
      <c r="B180" s="97" t="s">
        <v>1947</v>
      </c>
      <c r="C180" s="187" t="s">
        <v>1946</v>
      </c>
      <c r="D180" s="236"/>
      <c r="E180" s="283">
        <v>5402</v>
      </c>
      <c r="F180" s="249"/>
      <c r="G180" s="92">
        <f t="shared" si="7"/>
        <v>81744</v>
      </c>
      <c r="H180" s="94"/>
    </row>
    <row r="181" spans="1:8" ht="18.75" x14ac:dyDescent="0.3">
      <c r="A181" s="133"/>
      <c r="B181" s="97" t="s">
        <v>1952</v>
      </c>
      <c r="C181" s="187" t="s">
        <v>1070</v>
      </c>
      <c r="D181" s="236"/>
      <c r="E181" s="283">
        <v>980</v>
      </c>
      <c r="F181" s="249"/>
      <c r="G181" s="92">
        <f t="shared" si="7"/>
        <v>80764</v>
      </c>
      <c r="H181" s="94"/>
    </row>
    <row r="182" spans="1:8" x14ac:dyDescent="0.3">
      <c r="A182" s="133" t="s">
        <v>2067</v>
      </c>
      <c r="B182" s="97" t="s">
        <v>2078</v>
      </c>
      <c r="C182" s="187" t="s">
        <v>253</v>
      </c>
      <c r="D182" s="236"/>
      <c r="E182" s="249">
        <v>4520</v>
      </c>
      <c r="F182" s="249"/>
      <c r="G182" s="92">
        <f>G181-E182-F182</f>
        <v>76244</v>
      </c>
      <c r="H182" s="94"/>
    </row>
    <row r="183" spans="1:8" x14ac:dyDescent="0.3">
      <c r="A183" s="133"/>
      <c r="B183" s="97" t="s">
        <v>2078</v>
      </c>
      <c r="C183" s="187" t="s">
        <v>253</v>
      </c>
      <c r="D183" s="236"/>
      <c r="E183" s="249">
        <v>4130</v>
      </c>
      <c r="F183" s="249"/>
      <c r="G183" s="92">
        <f t="shared" ref="G183:G188" si="8">G182-E183-F183</f>
        <v>72114</v>
      </c>
      <c r="H183" s="94"/>
    </row>
    <row r="184" spans="1:8" ht="18.75" x14ac:dyDescent="0.3">
      <c r="A184" s="133"/>
      <c r="B184" s="97" t="s">
        <v>2080</v>
      </c>
      <c r="C184" s="49" t="s">
        <v>1532</v>
      </c>
      <c r="D184" s="236"/>
      <c r="E184" s="404">
        <v>7000</v>
      </c>
      <c r="F184" s="249"/>
      <c r="G184" s="92">
        <f t="shared" si="8"/>
        <v>65114</v>
      </c>
      <c r="H184" s="94"/>
    </row>
    <row r="185" spans="1:8" ht="18.75" x14ac:dyDescent="0.3">
      <c r="A185" s="133" t="s">
        <v>2015</v>
      </c>
      <c r="B185" s="97" t="s">
        <v>2045</v>
      </c>
      <c r="C185" s="49" t="s">
        <v>2046</v>
      </c>
      <c r="D185" s="236"/>
      <c r="E185" s="283">
        <v>7870</v>
      </c>
      <c r="F185" s="249"/>
      <c r="G185" s="92">
        <f t="shared" si="8"/>
        <v>57244</v>
      </c>
      <c r="H185" s="94"/>
    </row>
    <row r="186" spans="1:8" ht="18.75" x14ac:dyDescent="0.3">
      <c r="A186" s="133" t="s">
        <v>2067</v>
      </c>
      <c r="B186" s="97" t="s">
        <v>2079</v>
      </c>
      <c r="C186" s="49" t="s">
        <v>258</v>
      </c>
      <c r="D186" s="236"/>
      <c r="E186" s="283">
        <v>500</v>
      </c>
      <c r="F186" s="249"/>
      <c r="G186" s="92">
        <f t="shared" si="8"/>
        <v>56744</v>
      </c>
      <c r="H186" s="94"/>
    </row>
    <row r="187" spans="1:8" ht="18.75" x14ac:dyDescent="0.3">
      <c r="A187" s="133" t="s">
        <v>2083</v>
      </c>
      <c r="B187" s="97" t="s">
        <v>2082</v>
      </c>
      <c r="C187" s="49" t="s">
        <v>2081</v>
      </c>
      <c r="D187" s="236"/>
      <c r="E187" s="283">
        <v>1020</v>
      </c>
      <c r="F187" s="249"/>
      <c r="G187" s="92">
        <f t="shared" si="8"/>
        <v>55724</v>
      </c>
      <c r="H187" s="94"/>
    </row>
    <row r="188" spans="1:8" ht="18.75" x14ac:dyDescent="0.3">
      <c r="A188" s="133"/>
      <c r="B188" s="97"/>
      <c r="C188" s="49" t="s">
        <v>258</v>
      </c>
      <c r="D188" s="236"/>
      <c r="E188" s="283">
        <v>1264</v>
      </c>
      <c r="F188" s="249"/>
      <c r="G188" s="92">
        <f t="shared" si="8"/>
        <v>54460</v>
      </c>
      <c r="H188" s="94"/>
    </row>
    <row r="189" spans="1:8" ht="18.75" x14ac:dyDescent="0.3">
      <c r="A189" s="133"/>
      <c r="B189" s="97"/>
      <c r="C189" s="49" t="s">
        <v>2333</v>
      </c>
      <c r="D189" s="236">
        <v>-9700</v>
      </c>
      <c r="E189" s="283"/>
      <c r="F189" s="249"/>
      <c r="G189" s="92">
        <f>G188+D189</f>
        <v>44760</v>
      </c>
      <c r="H189" s="94"/>
    </row>
    <row r="190" spans="1:8" ht="18.75" x14ac:dyDescent="0.3">
      <c r="A190" s="133" t="s">
        <v>2420</v>
      </c>
      <c r="B190" s="97" t="s">
        <v>2430</v>
      </c>
      <c r="C190" s="49" t="s">
        <v>2272</v>
      </c>
      <c r="D190" s="236"/>
      <c r="E190" s="283">
        <v>968</v>
      </c>
      <c r="F190" s="249"/>
      <c r="G190" s="92">
        <f>G189-E190-F190</f>
        <v>43792</v>
      </c>
      <c r="H190" s="94" t="s">
        <v>2275</v>
      </c>
    </row>
    <row r="191" spans="1:8" ht="18.75" x14ac:dyDescent="0.3">
      <c r="A191" s="133" t="s">
        <v>2420</v>
      </c>
      <c r="B191" s="97" t="s">
        <v>2433</v>
      </c>
      <c r="C191" s="49" t="s">
        <v>2273</v>
      </c>
      <c r="D191" s="236"/>
      <c r="E191" s="283">
        <v>2824</v>
      </c>
      <c r="F191" s="249"/>
      <c r="G191" s="92">
        <f t="shared" ref="G191:G205" si="9">G190-E191-F191</f>
        <v>40968</v>
      </c>
      <c r="H191" s="94" t="s">
        <v>2274</v>
      </c>
    </row>
    <row r="192" spans="1:8" ht="18.75" x14ac:dyDescent="0.3">
      <c r="A192" s="133"/>
      <c r="B192" s="97"/>
      <c r="C192" s="49" t="s">
        <v>2276</v>
      </c>
      <c r="D192" s="236"/>
      <c r="E192" s="283">
        <v>2000</v>
      </c>
      <c r="F192" s="249"/>
      <c r="G192" s="92">
        <f t="shared" si="9"/>
        <v>38968</v>
      </c>
      <c r="H192" s="94" t="s">
        <v>2277</v>
      </c>
    </row>
    <row r="193" spans="1:8" ht="18.75" x14ac:dyDescent="0.3">
      <c r="A193" s="133"/>
      <c r="B193" s="97"/>
      <c r="C193" s="49" t="s">
        <v>2432</v>
      </c>
      <c r="D193" s="236"/>
      <c r="E193" s="283">
        <v>2510</v>
      </c>
      <c r="F193" s="249"/>
      <c r="G193" s="92">
        <f t="shared" si="9"/>
        <v>36458</v>
      </c>
      <c r="H193" s="94"/>
    </row>
    <row r="194" spans="1:8" ht="18.75" x14ac:dyDescent="0.3">
      <c r="A194" s="133"/>
      <c r="B194" s="97"/>
      <c r="C194" s="49" t="s">
        <v>2458</v>
      </c>
      <c r="D194" s="236"/>
      <c r="E194" s="283">
        <v>-1820</v>
      </c>
      <c r="F194" s="249"/>
      <c r="G194" s="92">
        <f t="shared" si="9"/>
        <v>38278</v>
      </c>
      <c r="H194" s="94"/>
    </row>
    <row r="195" spans="1:8" x14ac:dyDescent="0.3">
      <c r="A195" s="133" t="s">
        <v>2420</v>
      </c>
      <c r="B195" s="97" t="s">
        <v>2433</v>
      </c>
      <c r="C195" s="49" t="s">
        <v>2279</v>
      </c>
      <c r="D195" s="236"/>
      <c r="E195" s="249">
        <v>1752</v>
      </c>
      <c r="F195" s="249"/>
      <c r="G195" s="92">
        <f t="shared" si="9"/>
        <v>36526</v>
      </c>
      <c r="H195" s="94"/>
    </row>
    <row r="196" spans="1:8" x14ac:dyDescent="0.3">
      <c r="A196" s="133" t="s">
        <v>2420</v>
      </c>
      <c r="B196" s="97" t="s">
        <v>2433</v>
      </c>
      <c r="C196" s="49" t="s">
        <v>2299</v>
      </c>
      <c r="D196" s="236"/>
      <c r="E196" s="249">
        <v>1425</v>
      </c>
      <c r="F196" s="249"/>
      <c r="G196" s="92">
        <f t="shared" si="9"/>
        <v>35101</v>
      </c>
      <c r="H196" s="94"/>
    </row>
    <row r="197" spans="1:8" x14ac:dyDescent="0.3">
      <c r="A197" s="179" t="s">
        <v>2480</v>
      </c>
      <c r="B197" s="97" t="s">
        <v>2481</v>
      </c>
      <c r="C197" s="49" t="s">
        <v>2364</v>
      </c>
      <c r="D197" s="236"/>
      <c r="E197" s="249">
        <v>1512</v>
      </c>
      <c r="F197" s="249"/>
      <c r="G197" s="92">
        <f t="shared" si="9"/>
        <v>33589</v>
      </c>
      <c r="H197" s="94"/>
    </row>
    <row r="198" spans="1:8" x14ac:dyDescent="0.3">
      <c r="A198" s="133" t="s">
        <v>2480</v>
      </c>
      <c r="B198" s="97" t="s">
        <v>2501</v>
      </c>
      <c r="C198" s="49" t="s">
        <v>2366</v>
      </c>
      <c r="D198" s="236"/>
      <c r="E198" s="249">
        <v>2072</v>
      </c>
      <c r="F198" s="249"/>
      <c r="G198" s="92">
        <f t="shared" si="9"/>
        <v>31517</v>
      </c>
      <c r="H198" s="94"/>
    </row>
    <row r="199" spans="1:8" ht="18.75" x14ac:dyDescent="0.3">
      <c r="A199" s="133" t="s">
        <v>2403</v>
      </c>
      <c r="B199" s="97" t="s">
        <v>2448</v>
      </c>
      <c r="C199" s="49" t="s">
        <v>2276</v>
      </c>
      <c r="D199" s="236"/>
      <c r="E199" s="283">
        <v>500</v>
      </c>
      <c r="F199" s="249"/>
      <c r="G199" s="92">
        <f t="shared" si="9"/>
        <v>31017</v>
      </c>
      <c r="H199" s="94"/>
    </row>
    <row r="200" spans="1:8" ht="18.75" x14ac:dyDescent="0.3">
      <c r="A200" s="133" t="s">
        <v>2420</v>
      </c>
      <c r="B200" s="97" t="s">
        <v>2437</v>
      </c>
      <c r="C200" s="49" t="s">
        <v>2391</v>
      </c>
      <c r="D200" s="236"/>
      <c r="E200" s="283">
        <v>9380</v>
      </c>
      <c r="F200" s="249"/>
      <c r="G200" s="92">
        <f t="shared" si="9"/>
        <v>21637</v>
      </c>
      <c r="H200" s="94"/>
    </row>
    <row r="201" spans="1:8" ht="18.75" x14ac:dyDescent="0.3">
      <c r="A201" s="133"/>
      <c r="B201" s="97"/>
      <c r="C201" s="49" t="s">
        <v>2397</v>
      </c>
      <c r="D201" s="236"/>
      <c r="E201" s="283">
        <v>3984</v>
      </c>
      <c r="F201" s="249"/>
      <c r="G201" s="92">
        <f t="shared" si="9"/>
        <v>17653</v>
      </c>
      <c r="H201" s="94"/>
    </row>
    <row r="202" spans="1:8" ht="18.75" x14ac:dyDescent="0.3">
      <c r="A202" s="133"/>
      <c r="B202" s="97"/>
      <c r="C202" s="49" t="s">
        <v>2081</v>
      </c>
      <c r="D202" s="236"/>
      <c r="E202" s="283">
        <v>340</v>
      </c>
      <c r="F202" s="249"/>
      <c r="G202" s="92">
        <f t="shared" si="9"/>
        <v>17313</v>
      </c>
      <c r="H202" s="94"/>
    </row>
    <row r="203" spans="1:8" x14ac:dyDescent="0.3">
      <c r="A203" s="133" t="s">
        <v>2403</v>
      </c>
      <c r="B203" s="97" t="s">
        <v>2447</v>
      </c>
      <c r="C203" s="49" t="s">
        <v>2404</v>
      </c>
      <c r="D203" s="236"/>
      <c r="E203" s="249">
        <v>378</v>
      </c>
      <c r="F203" s="249"/>
      <c r="G203" s="92">
        <f t="shared" si="9"/>
        <v>16935</v>
      </c>
      <c r="H203" s="94"/>
    </row>
    <row r="204" spans="1:8" x14ac:dyDescent="0.3">
      <c r="A204" s="133" t="s">
        <v>2449</v>
      </c>
      <c r="B204" s="97" t="s">
        <v>2447</v>
      </c>
      <c r="C204" s="49" t="s">
        <v>2405</v>
      </c>
      <c r="D204" s="236"/>
      <c r="E204" s="249">
        <v>530</v>
      </c>
      <c r="F204" s="249"/>
      <c r="G204" s="92">
        <f t="shared" si="9"/>
        <v>16405</v>
      </c>
      <c r="H204" s="94"/>
    </row>
    <row r="205" spans="1:8" ht="18.75" x14ac:dyDescent="0.3">
      <c r="A205" s="133" t="s">
        <v>2403</v>
      </c>
      <c r="B205" s="97" t="s">
        <v>2448</v>
      </c>
      <c r="C205" s="49" t="s">
        <v>258</v>
      </c>
      <c r="D205" s="236"/>
      <c r="E205" s="283">
        <v>500</v>
      </c>
      <c r="F205" s="249"/>
      <c r="G205" s="92">
        <f t="shared" si="9"/>
        <v>15905</v>
      </c>
      <c r="H205" s="94"/>
    </row>
    <row r="206" spans="1:8" ht="18.75" x14ac:dyDescent="0.3">
      <c r="A206" s="133" t="s">
        <v>2474</v>
      </c>
      <c r="B206" s="97"/>
      <c r="C206" s="218" t="s">
        <v>2457</v>
      </c>
      <c r="D206" s="236">
        <v>60000</v>
      </c>
      <c r="E206" s="268"/>
      <c r="F206" s="249"/>
      <c r="G206" s="92">
        <f>G205+D206</f>
        <v>75905</v>
      </c>
      <c r="H206" s="94"/>
    </row>
    <row r="207" spans="1:8" ht="18.75" x14ac:dyDescent="0.3">
      <c r="A207" s="133" t="s">
        <v>2475</v>
      </c>
      <c r="B207" s="97" t="s">
        <v>2476</v>
      </c>
      <c r="C207" s="49" t="s">
        <v>2278</v>
      </c>
      <c r="D207" s="236"/>
      <c r="E207" s="268">
        <v>504</v>
      </c>
      <c r="F207" s="249"/>
      <c r="G207" s="92">
        <f t="shared" ref="G207:G213" si="10">G206-E207-F207</f>
        <v>75401</v>
      </c>
      <c r="H207" s="94"/>
    </row>
    <row r="208" spans="1:8" ht="18.75" x14ac:dyDescent="0.3">
      <c r="A208" s="179" t="s">
        <v>2480</v>
      </c>
      <c r="B208" s="97" t="s">
        <v>2481</v>
      </c>
      <c r="C208" s="188" t="s">
        <v>2482</v>
      </c>
      <c r="D208" s="236"/>
      <c r="E208" s="268">
        <v>480</v>
      </c>
      <c r="F208" s="249"/>
      <c r="G208" s="92">
        <f t="shared" si="10"/>
        <v>74921</v>
      </c>
      <c r="H208" s="94"/>
    </row>
    <row r="209" spans="1:8" ht="18.75" x14ac:dyDescent="0.3">
      <c r="A209" s="133"/>
      <c r="B209" s="97" t="s">
        <v>2546</v>
      </c>
      <c r="C209" s="49" t="s">
        <v>2545</v>
      </c>
      <c r="D209" s="236"/>
      <c r="E209" s="268">
        <v>1550</v>
      </c>
      <c r="F209" s="249"/>
      <c r="G209" s="92">
        <f t="shared" si="10"/>
        <v>73371</v>
      </c>
      <c r="H209" s="94"/>
    </row>
    <row r="210" spans="1:8" ht="18.75" x14ac:dyDescent="0.3">
      <c r="A210" s="133" t="s">
        <v>2540</v>
      </c>
      <c r="B210" s="97" t="s">
        <v>2556</v>
      </c>
      <c r="C210" s="49" t="s">
        <v>1494</v>
      </c>
      <c r="D210" s="236"/>
      <c r="E210" s="268">
        <v>2232</v>
      </c>
      <c r="F210" s="249"/>
      <c r="G210" s="92">
        <f t="shared" si="10"/>
        <v>71139</v>
      </c>
      <c r="H210" s="94"/>
    </row>
    <row r="211" spans="1:8" ht="18.75" x14ac:dyDescent="0.3">
      <c r="A211" s="133"/>
      <c r="B211" s="97" t="s">
        <v>2616</v>
      </c>
      <c r="C211" s="49" t="s">
        <v>2404</v>
      </c>
      <c r="D211" s="236"/>
      <c r="E211" s="268">
        <v>358</v>
      </c>
      <c r="F211" s="249"/>
      <c r="G211" s="92">
        <f t="shared" si="10"/>
        <v>70781</v>
      </c>
      <c r="H211" s="94"/>
    </row>
    <row r="212" spans="1:8" ht="18.75" x14ac:dyDescent="0.3">
      <c r="A212" s="133" t="s">
        <v>2636</v>
      </c>
      <c r="B212" s="97" t="s">
        <v>2635</v>
      </c>
      <c r="C212" s="49" t="s">
        <v>2634</v>
      </c>
      <c r="D212" s="236"/>
      <c r="E212" s="268">
        <v>4175</v>
      </c>
      <c r="F212" s="249"/>
      <c r="G212" s="92">
        <f t="shared" si="10"/>
        <v>66606</v>
      </c>
      <c r="H212" s="94"/>
    </row>
    <row r="213" spans="1:8" ht="18.75" x14ac:dyDescent="0.3">
      <c r="A213" s="133" t="s">
        <v>2641</v>
      </c>
      <c r="B213" s="97" t="s">
        <v>2685</v>
      </c>
      <c r="C213" s="49" t="s">
        <v>2637</v>
      </c>
      <c r="D213" s="236"/>
      <c r="E213" s="268">
        <v>10655</v>
      </c>
      <c r="F213" s="249"/>
      <c r="G213" s="92">
        <f t="shared" si="10"/>
        <v>55951</v>
      </c>
      <c r="H213" s="94"/>
    </row>
    <row r="214" spans="1:8" ht="18.75" x14ac:dyDescent="0.3">
      <c r="A214" s="133"/>
      <c r="B214" s="97"/>
      <c r="C214" s="49" t="s">
        <v>2639</v>
      </c>
      <c r="D214" s="422">
        <v>-16630</v>
      </c>
      <c r="E214" s="268"/>
      <c r="F214" s="249"/>
      <c r="G214" s="92">
        <f>G213+D214</f>
        <v>39321</v>
      </c>
      <c r="H214" s="94"/>
    </row>
    <row r="215" spans="1:8" ht="18.75" x14ac:dyDescent="0.3">
      <c r="A215" s="133"/>
      <c r="B215" s="97"/>
      <c r="C215" s="49" t="s">
        <v>2750</v>
      </c>
      <c r="D215" s="422">
        <v>151</v>
      </c>
      <c r="E215" s="268"/>
      <c r="F215" s="249"/>
      <c r="G215" s="92">
        <f>G214+D215</f>
        <v>39472</v>
      </c>
      <c r="H215" s="94"/>
    </row>
    <row r="216" spans="1:8" ht="18.75" x14ac:dyDescent="0.3">
      <c r="A216" s="133"/>
      <c r="B216" s="97"/>
      <c r="C216" s="76"/>
      <c r="D216" s="422"/>
      <c r="E216" s="268">
        <v>-25</v>
      </c>
      <c r="F216" s="249"/>
      <c r="G216" s="92">
        <f>G215-E216-F216</f>
        <v>39497</v>
      </c>
      <c r="H216" s="94"/>
    </row>
    <row r="217" spans="1:8" ht="18.75" x14ac:dyDescent="0.3">
      <c r="A217" s="133" t="s">
        <v>2641</v>
      </c>
      <c r="B217" s="97" t="s">
        <v>2648</v>
      </c>
      <c r="C217" s="188" t="s">
        <v>2482</v>
      </c>
      <c r="D217" s="236"/>
      <c r="E217" s="268">
        <v>1600</v>
      </c>
      <c r="F217" s="249"/>
      <c r="G217" s="92">
        <f t="shared" ref="G217:G224" si="11">G216-E217-F217</f>
        <v>37897</v>
      </c>
      <c r="H217" s="94"/>
    </row>
    <row r="218" spans="1:8" ht="18.75" x14ac:dyDescent="0.3">
      <c r="A218" s="133" t="s">
        <v>2716</v>
      </c>
      <c r="B218" s="97" t="s">
        <v>2717</v>
      </c>
      <c r="C218" s="188" t="s">
        <v>2718</v>
      </c>
      <c r="D218" s="236"/>
      <c r="E218" s="268">
        <v>1850</v>
      </c>
      <c r="F218" s="249"/>
      <c r="G218" s="92">
        <f t="shared" si="11"/>
        <v>36047</v>
      </c>
      <c r="H218" s="94"/>
    </row>
    <row r="219" spans="1:8" ht="18.75" x14ac:dyDescent="0.3">
      <c r="A219" s="133" t="s">
        <v>2723</v>
      </c>
      <c r="B219" s="97" t="s">
        <v>2727</v>
      </c>
      <c r="C219" s="188" t="s">
        <v>2726</v>
      </c>
      <c r="D219" s="236"/>
      <c r="E219" s="268">
        <v>2594</v>
      </c>
      <c r="F219" s="249"/>
      <c r="G219" s="92">
        <f t="shared" si="11"/>
        <v>33453</v>
      </c>
      <c r="H219" s="94"/>
    </row>
    <row r="220" spans="1:8" ht="18.75" x14ac:dyDescent="0.3">
      <c r="A220" s="133"/>
      <c r="B220" s="97"/>
      <c r="C220" s="49" t="s">
        <v>2737</v>
      </c>
      <c r="D220" s="236"/>
      <c r="E220" s="268">
        <v>7784</v>
      </c>
      <c r="F220" s="249"/>
      <c r="G220" s="92">
        <f t="shared" si="11"/>
        <v>25669</v>
      </c>
      <c r="H220" s="94"/>
    </row>
    <row r="221" spans="1:8" ht="18.75" x14ac:dyDescent="0.3">
      <c r="A221" s="133" t="s">
        <v>2732</v>
      </c>
      <c r="B221" s="97" t="s">
        <v>2849</v>
      </c>
      <c r="C221" s="49" t="s">
        <v>2738</v>
      </c>
      <c r="D221" s="236"/>
      <c r="E221" s="268">
        <v>1400</v>
      </c>
      <c r="F221" s="249"/>
      <c r="G221" s="92">
        <f t="shared" si="11"/>
        <v>24269</v>
      </c>
      <c r="H221" s="94"/>
    </row>
    <row r="222" spans="1:8" ht="18.75" x14ac:dyDescent="0.3">
      <c r="A222" s="133" t="s">
        <v>2807</v>
      </c>
      <c r="B222" s="97" t="s">
        <v>2809</v>
      </c>
      <c r="C222" s="49" t="s">
        <v>2808</v>
      </c>
      <c r="D222" s="236"/>
      <c r="E222" s="268">
        <v>12160</v>
      </c>
      <c r="F222" s="249"/>
      <c r="G222" s="92">
        <f t="shared" si="11"/>
        <v>12109</v>
      </c>
      <c r="H222" s="94"/>
    </row>
    <row r="223" spans="1:8" ht="18.75" x14ac:dyDescent="0.3">
      <c r="A223" s="133"/>
      <c r="B223" s="97"/>
      <c r="C223" s="49" t="s">
        <v>2742</v>
      </c>
      <c r="D223" s="236"/>
      <c r="E223" s="268">
        <v>4550</v>
      </c>
      <c r="F223" s="249"/>
      <c r="G223" s="92">
        <f t="shared" si="11"/>
        <v>7559</v>
      </c>
      <c r="H223" s="94"/>
    </row>
    <row r="224" spans="1:8" ht="18.75" x14ac:dyDescent="0.3">
      <c r="A224" s="133" t="s">
        <v>2732</v>
      </c>
      <c r="B224" s="97" t="s">
        <v>2752</v>
      </c>
      <c r="C224" s="49" t="s">
        <v>2751</v>
      </c>
      <c r="D224" s="236"/>
      <c r="E224" s="268">
        <v>250</v>
      </c>
      <c r="F224" s="249"/>
      <c r="G224" s="92">
        <f t="shared" si="11"/>
        <v>7309</v>
      </c>
      <c r="H224" s="94"/>
    </row>
    <row r="225" spans="1:8" ht="18.75" x14ac:dyDescent="0.3">
      <c r="A225" s="133" t="s">
        <v>2741</v>
      </c>
      <c r="B225" s="97"/>
      <c r="C225" s="49" t="s">
        <v>2797</v>
      </c>
      <c r="D225" s="93">
        <v>-3746</v>
      </c>
      <c r="E225" s="268"/>
      <c r="F225" s="249"/>
      <c r="G225" s="92">
        <f>G224+D225</f>
        <v>3563</v>
      </c>
      <c r="H225" s="94"/>
    </row>
    <row r="226" spans="1:8" ht="18.75" x14ac:dyDescent="0.3">
      <c r="A226" s="133" t="s">
        <v>2807</v>
      </c>
      <c r="B226" s="97" t="s">
        <v>2838</v>
      </c>
      <c r="C226" s="49" t="s">
        <v>1070</v>
      </c>
      <c r="D226" s="93"/>
      <c r="E226" s="268">
        <v>580</v>
      </c>
      <c r="F226" s="249"/>
      <c r="G226" s="292">
        <f>G225-E226-F226</f>
        <v>2983</v>
      </c>
      <c r="H226" s="94"/>
    </row>
    <row r="227" spans="1:8" ht="18.75" x14ac:dyDescent="0.3">
      <c r="A227" s="133"/>
      <c r="B227" s="97"/>
      <c r="C227" s="49" t="s">
        <v>2901</v>
      </c>
      <c r="D227" s="93">
        <v>-2958</v>
      </c>
      <c r="E227" s="268"/>
      <c r="F227" s="249"/>
      <c r="G227" s="292">
        <f>G226+D227</f>
        <v>25</v>
      </c>
      <c r="H227" s="94"/>
    </row>
    <row r="228" spans="1:8" ht="18.75" x14ac:dyDescent="0.3">
      <c r="A228" s="133"/>
      <c r="B228" s="97"/>
      <c r="C228" s="49" t="s">
        <v>2901</v>
      </c>
      <c r="D228" s="93">
        <v>-25</v>
      </c>
      <c r="E228" s="268"/>
      <c r="F228" s="249"/>
      <c r="G228" s="292">
        <f>G227+D228</f>
        <v>0</v>
      </c>
      <c r="H228" s="94"/>
    </row>
    <row r="229" spans="1:8" ht="18.75" x14ac:dyDescent="0.3">
      <c r="A229" s="133"/>
      <c r="B229" s="97"/>
      <c r="C229" s="49"/>
      <c r="D229" s="236"/>
      <c r="E229" s="268"/>
      <c r="F229" s="249"/>
      <c r="G229" s="92"/>
      <c r="H229" s="94"/>
    </row>
    <row r="230" spans="1:8" x14ac:dyDescent="0.3">
      <c r="A230" s="89"/>
      <c r="B230" s="90"/>
      <c r="C230" s="74" t="s">
        <v>137</v>
      </c>
      <c r="D230" s="93">
        <v>20000</v>
      </c>
      <c r="E230" s="93"/>
      <c r="F230" s="249"/>
      <c r="G230" s="92">
        <f>D230</f>
        <v>20000</v>
      </c>
      <c r="H230" s="94"/>
    </row>
    <row r="231" spans="1:8" x14ac:dyDescent="0.3">
      <c r="A231" s="89"/>
      <c r="B231" s="90"/>
      <c r="C231" s="49" t="s">
        <v>777</v>
      </c>
      <c r="D231" s="93">
        <v>-5000</v>
      </c>
      <c r="E231" s="93"/>
      <c r="F231" s="249"/>
      <c r="G231" s="92">
        <f>G230+D231</f>
        <v>15000</v>
      </c>
      <c r="H231" s="94"/>
    </row>
    <row r="232" spans="1:8" x14ac:dyDescent="0.3">
      <c r="A232" s="89" t="s">
        <v>816</v>
      </c>
      <c r="B232" s="90"/>
      <c r="C232" s="49" t="s">
        <v>861</v>
      </c>
      <c r="D232" s="93">
        <v>-5000</v>
      </c>
      <c r="E232" s="93"/>
      <c r="F232" s="249"/>
      <c r="G232" s="92">
        <f>G231+D232</f>
        <v>10000</v>
      </c>
      <c r="H232" s="94"/>
    </row>
    <row r="233" spans="1:8" x14ac:dyDescent="0.3">
      <c r="A233" s="89" t="s">
        <v>816</v>
      </c>
      <c r="B233" s="90"/>
      <c r="C233" s="49" t="s">
        <v>777</v>
      </c>
      <c r="D233" s="93">
        <v>-5000</v>
      </c>
      <c r="E233" s="93"/>
      <c r="F233" s="249"/>
      <c r="G233" s="92">
        <f>G232+D233</f>
        <v>5000</v>
      </c>
      <c r="H233" s="94"/>
    </row>
    <row r="234" spans="1:8" ht="18.75" x14ac:dyDescent="0.3">
      <c r="A234" s="89" t="s">
        <v>1541</v>
      </c>
      <c r="B234" s="90"/>
      <c r="C234" s="49" t="s">
        <v>861</v>
      </c>
      <c r="D234" s="93">
        <v>-3000</v>
      </c>
      <c r="E234" s="93"/>
      <c r="F234" s="249"/>
      <c r="G234" s="256">
        <f>G233+D234</f>
        <v>2000</v>
      </c>
      <c r="H234" s="94"/>
    </row>
    <row r="235" spans="1:8" ht="18.75" x14ac:dyDescent="0.3">
      <c r="A235" s="89" t="s">
        <v>1685</v>
      </c>
      <c r="B235" s="90"/>
      <c r="C235" s="49" t="s">
        <v>1689</v>
      </c>
      <c r="D235" s="93"/>
      <c r="E235" s="93">
        <v>1400</v>
      </c>
      <c r="F235" s="249"/>
      <c r="G235" s="256">
        <f>G234-E235</f>
        <v>600</v>
      </c>
      <c r="H235" s="94"/>
    </row>
    <row r="236" spans="1:8" ht="18.75" x14ac:dyDescent="0.3">
      <c r="A236" s="89"/>
      <c r="B236" s="90"/>
      <c r="C236" s="49"/>
      <c r="D236" s="93">
        <v>-600</v>
      </c>
      <c r="E236" s="93"/>
      <c r="F236" s="249"/>
      <c r="G236" s="256">
        <f>G235+D236</f>
        <v>0</v>
      </c>
      <c r="H236" s="94"/>
    </row>
    <row r="237" spans="1:8" x14ac:dyDescent="0.3">
      <c r="A237" s="89"/>
      <c r="B237" s="90"/>
      <c r="C237" s="49"/>
      <c r="D237" s="93"/>
      <c r="E237" s="93"/>
      <c r="F237" s="249"/>
      <c r="G237" s="92"/>
      <c r="H237" s="94"/>
    </row>
    <row r="238" spans="1:8" x14ac:dyDescent="0.3">
      <c r="A238" s="89"/>
      <c r="B238" s="90"/>
      <c r="C238" s="74" t="s">
        <v>138</v>
      </c>
      <c r="D238" s="93">
        <v>30000</v>
      </c>
      <c r="E238" s="93"/>
      <c r="F238" s="249"/>
      <c r="G238" s="92">
        <f>D238</f>
        <v>30000</v>
      </c>
      <c r="H238" s="94"/>
    </row>
    <row r="239" spans="1:8" x14ac:dyDescent="0.3">
      <c r="A239" s="89" t="s">
        <v>198</v>
      </c>
      <c r="B239" s="90" t="s">
        <v>245</v>
      </c>
      <c r="C239" s="49" t="s">
        <v>246</v>
      </c>
      <c r="D239" s="93"/>
      <c r="E239" s="93">
        <v>5756.5</v>
      </c>
      <c r="F239" s="249"/>
      <c r="G239" s="92">
        <f>G238-E239</f>
        <v>24243.5</v>
      </c>
      <c r="H239" s="94"/>
    </row>
    <row r="240" spans="1:8" x14ac:dyDescent="0.3">
      <c r="A240" s="89" t="s">
        <v>339</v>
      </c>
      <c r="B240" s="90" t="s">
        <v>347</v>
      </c>
      <c r="C240" s="49" t="s">
        <v>348</v>
      </c>
      <c r="D240" s="93"/>
      <c r="E240" s="93">
        <v>8755</v>
      </c>
      <c r="F240" s="249"/>
      <c r="G240" s="92">
        <f>G239-E240</f>
        <v>15488.5</v>
      </c>
      <c r="H240" s="94"/>
    </row>
    <row r="241" spans="1:8" x14ac:dyDescent="0.3">
      <c r="A241" s="89" t="s">
        <v>664</v>
      </c>
      <c r="B241" s="90" t="s">
        <v>680</v>
      </c>
      <c r="C241" s="49" t="s">
        <v>679</v>
      </c>
      <c r="D241" s="93"/>
      <c r="E241" s="93">
        <v>2755</v>
      </c>
      <c r="F241" s="249"/>
      <c r="G241" s="92">
        <f>G240-E241</f>
        <v>12733.5</v>
      </c>
      <c r="H241" s="94"/>
    </row>
    <row r="242" spans="1:8" x14ac:dyDescent="0.3">
      <c r="A242" s="89" t="s">
        <v>857</v>
      </c>
      <c r="B242" s="90" t="s">
        <v>858</v>
      </c>
      <c r="C242" s="49" t="s">
        <v>856</v>
      </c>
      <c r="D242" s="236"/>
      <c r="E242" s="93">
        <v>1634</v>
      </c>
      <c r="F242" s="249"/>
      <c r="G242" s="92">
        <f>G241-E242</f>
        <v>11099.5</v>
      </c>
      <c r="H242" s="94"/>
    </row>
    <row r="243" spans="1:8" x14ac:dyDescent="0.3">
      <c r="A243" s="89" t="s">
        <v>1071</v>
      </c>
      <c r="B243" s="90" t="s">
        <v>1072</v>
      </c>
      <c r="C243" s="49" t="s">
        <v>1001</v>
      </c>
      <c r="D243" s="236"/>
      <c r="E243" s="93">
        <v>4397.5</v>
      </c>
      <c r="F243" s="249"/>
      <c r="G243" s="92">
        <f>G242-E243</f>
        <v>6702</v>
      </c>
      <c r="H243" s="94"/>
    </row>
    <row r="244" spans="1:8" x14ac:dyDescent="0.3">
      <c r="A244" s="89" t="s">
        <v>1158</v>
      </c>
      <c r="B244" s="90" t="s">
        <v>1289</v>
      </c>
      <c r="C244" s="49" t="s">
        <v>1288</v>
      </c>
      <c r="D244" s="236">
        <v>5000</v>
      </c>
      <c r="E244" s="93">
        <v>10428</v>
      </c>
      <c r="F244" s="249"/>
      <c r="G244" s="92">
        <f>G243+D244-E244</f>
        <v>1274</v>
      </c>
      <c r="H244" s="94"/>
    </row>
    <row r="245" spans="1:8" x14ac:dyDescent="0.3">
      <c r="A245" s="133" t="s">
        <v>1207</v>
      </c>
      <c r="B245" s="97"/>
      <c r="C245" s="49" t="s">
        <v>1212</v>
      </c>
      <c r="D245" s="236">
        <v>20000</v>
      </c>
      <c r="E245" s="93"/>
      <c r="F245" s="249"/>
      <c r="G245" s="92">
        <f>G244+D245</f>
        <v>21274</v>
      </c>
      <c r="H245" s="94"/>
    </row>
    <row r="246" spans="1:8" x14ac:dyDescent="0.3">
      <c r="A246" s="133" t="s">
        <v>1315</v>
      </c>
      <c r="B246" s="97" t="s">
        <v>1356</v>
      </c>
      <c r="C246" s="49" t="s">
        <v>1357</v>
      </c>
      <c r="D246" s="236"/>
      <c r="E246" s="93">
        <v>3696.5</v>
      </c>
      <c r="F246" s="249"/>
      <c r="G246" s="92">
        <f>G245-E246</f>
        <v>17577.5</v>
      </c>
      <c r="H246" s="94"/>
    </row>
    <row r="247" spans="1:8" x14ac:dyDescent="0.3">
      <c r="A247" s="133"/>
      <c r="B247" s="97" t="s">
        <v>1530</v>
      </c>
      <c r="C247" s="49" t="s">
        <v>1429</v>
      </c>
      <c r="D247" s="236"/>
      <c r="E247" s="93">
        <v>3098</v>
      </c>
      <c r="F247" s="249"/>
      <c r="G247" s="92">
        <f>G246-E247</f>
        <v>14479.5</v>
      </c>
      <c r="H247" s="94"/>
    </row>
    <row r="248" spans="1:8" x14ac:dyDescent="0.3">
      <c r="A248" s="133" t="s">
        <v>1592</v>
      </c>
      <c r="B248" s="97"/>
      <c r="C248" s="49" t="s">
        <v>1600</v>
      </c>
      <c r="D248" s="236">
        <v>10000</v>
      </c>
      <c r="E248" s="93"/>
      <c r="F248" s="249"/>
      <c r="G248" s="92">
        <f>G247+D248</f>
        <v>24479.5</v>
      </c>
      <c r="H248" s="94"/>
    </row>
    <row r="249" spans="1:8" x14ac:dyDescent="0.3">
      <c r="A249" s="133" t="s">
        <v>1701</v>
      </c>
      <c r="B249" s="97" t="s">
        <v>1715</v>
      </c>
      <c r="C249" s="49" t="s">
        <v>1716</v>
      </c>
      <c r="D249" s="236"/>
      <c r="E249" s="93">
        <v>3372</v>
      </c>
      <c r="F249" s="249"/>
      <c r="G249" s="92">
        <f>G248-E249</f>
        <v>21107.5</v>
      </c>
      <c r="H249" s="94"/>
    </row>
    <row r="250" spans="1:8" x14ac:dyDescent="0.3">
      <c r="A250" s="133" t="s">
        <v>2067</v>
      </c>
      <c r="B250" s="97" t="s">
        <v>2076</v>
      </c>
      <c r="C250" s="49" t="s">
        <v>2022</v>
      </c>
      <c r="D250" s="236"/>
      <c r="E250" s="93">
        <v>2643</v>
      </c>
      <c r="F250" s="249"/>
      <c r="G250" s="92">
        <f>G249-E250-F250</f>
        <v>18464.5</v>
      </c>
      <c r="H250" s="94"/>
    </row>
    <row r="251" spans="1:8" x14ac:dyDescent="0.3">
      <c r="A251" s="133"/>
      <c r="B251" s="97"/>
      <c r="C251" s="49" t="s">
        <v>2094</v>
      </c>
      <c r="D251" s="236"/>
      <c r="E251" s="93">
        <v>5319</v>
      </c>
      <c r="F251" s="249"/>
      <c r="G251" s="92">
        <f t="shared" ref="G251" si="12">G250-E251-F251</f>
        <v>13145.5</v>
      </c>
      <c r="H251" s="94"/>
    </row>
    <row r="252" spans="1:8" x14ac:dyDescent="0.3">
      <c r="A252" s="133"/>
      <c r="B252" s="97"/>
      <c r="C252" s="49" t="s">
        <v>2810</v>
      </c>
      <c r="D252" s="236">
        <v>3746</v>
      </c>
      <c r="E252" s="93"/>
      <c r="F252" s="249"/>
      <c r="G252" s="92">
        <f>G251+D252-F252</f>
        <v>16891.5</v>
      </c>
      <c r="H252" s="94"/>
    </row>
    <row r="253" spans="1:8" x14ac:dyDescent="0.3">
      <c r="A253" s="133"/>
      <c r="B253" s="97"/>
      <c r="C253" s="49" t="s">
        <v>2095</v>
      </c>
      <c r="D253" s="236"/>
      <c r="E253" s="93">
        <v>8746</v>
      </c>
      <c r="F253" s="249"/>
      <c r="G253" s="92">
        <f>G252-E253-F253</f>
        <v>8145.5</v>
      </c>
      <c r="H253" s="94"/>
    </row>
    <row r="254" spans="1:8" ht="18.75" x14ac:dyDescent="0.3">
      <c r="A254" s="133"/>
      <c r="B254" s="97"/>
      <c r="C254" s="49"/>
      <c r="D254" s="236">
        <v>-8145.5</v>
      </c>
      <c r="E254" s="93"/>
      <c r="F254" s="249"/>
      <c r="G254" s="256">
        <f>G253+D254</f>
        <v>0</v>
      </c>
      <c r="H254" s="94"/>
    </row>
    <row r="255" spans="1:8" x14ac:dyDescent="0.3">
      <c r="A255" s="133"/>
      <c r="B255" s="97"/>
      <c r="C255" s="49"/>
      <c r="D255" s="236"/>
      <c r="E255" s="93"/>
      <c r="F255" s="249"/>
      <c r="G255" s="92"/>
      <c r="H255" s="94"/>
    </row>
    <row r="256" spans="1:8" x14ac:dyDescent="0.3">
      <c r="A256" s="89"/>
      <c r="B256" s="90"/>
      <c r="C256" s="74" t="s">
        <v>139</v>
      </c>
      <c r="D256" s="93">
        <v>6000</v>
      </c>
      <c r="E256" s="93"/>
      <c r="F256" s="249"/>
      <c r="G256" s="92">
        <f>D256</f>
        <v>6000</v>
      </c>
      <c r="H256" s="94"/>
    </row>
    <row r="257" spans="1:8" x14ac:dyDescent="0.3">
      <c r="A257" s="89" t="s">
        <v>832</v>
      </c>
      <c r="B257" s="90" t="s">
        <v>840</v>
      </c>
      <c r="C257" s="49" t="s">
        <v>841</v>
      </c>
      <c r="D257" s="93"/>
      <c r="E257" s="93">
        <v>5374.61</v>
      </c>
      <c r="F257" s="249"/>
      <c r="G257" s="92">
        <f>G256-E257</f>
        <v>625.39000000000033</v>
      </c>
      <c r="H257" s="94"/>
    </row>
    <row r="258" spans="1:8" ht="18.75" x14ac:dyDescent="0.3">
      <c r="A258" s="89" t="s">
        <v>1541</v>
      </c>
      <c r="B258" s="90"/>
      <c r="C258" s="49" t="s">
        <v>1602</v>
      </c>
      <c r="D258" s="93">
        <v>-625.39</v>
      </c>
      <c r="E258" s="93"/>
      <c r="F258" s="249"/>
      <c r="G258" s="256">
        <f>G257+D258</f>
        <v>0</v>
      </c>
      <c r="H258" s="94"/>
    </row>
    <row r="259" spans="1:8" ht="18.75" x14ac:dyDescent="0.3">
      <c r="A259" s="89" t="s">
        <v>2136</v>
      </c>
      <c r="B259" s="90"/>
      <c r="C259" s="49" t="s">
        <v>2300</v>
      </c>
      <c r="D259" s="93">
        <v>645</v>
      </c>
      <c r="E259" s="93"/>
      <c r="F259" s="249"/>
      <c r="G259" s="256">
        <f>G258+D259</f>
        <v>645</v>
      </c>
      <c r="H259" s="94"/>
    </row>
    <row r="260" spans="1:8" ht="18.75" x14ac:dyDescent="0.3">
      <c r="A260" s="89" t="s">
        <v>2312</v>
      </c>
      <c r="B260" s="90" t="s">
        <v>2319</v>
      </c>
      <c r="C260" s="49" t="s">
        <v>2298</v>
      </c>
      <c r="D260" s="93"/>
      <c r="E260" s="93">
        <v>645</v>
      </c>
      <c r="F260" s="249"/>
      <c r="G260" s="256">
        <f>G259-E260-F260</f>
        <v>0</v>
      </c>
      <c r="H260" s="94"/>
    </row>
    <row r="261" spans="1:8" x14ac:dyDescent="0.3">
      <c r="A261" s="89"/>
      <c r="B261" s="90"/>
      <c r="C261" s="49"/>
      <c r="D261" s="93"/>
      <c r="E261" s="93"/>
      <c r="F261" s="249"/>
      <c r="G261" s="92"/>
      <c r="H261" s="94"/>
    </row>
    <row r="262" spans="1:8" x14ac:dyDescent="0.3">
      <c r="A262" s="89"/>
      <c r="B262" s="90"/>
      <c r="C262" s="74" t="s">
        <v>361</v>
      </c>
      <c r="D262" s="93">
        <v>9000</v>
      </c>
      <c r="E262" s="93"/>
      <c r="F262" s="249"/>
      <c r="G262" s="92">
        <f>D262</f>
        <v>9000</v>
      </c>
      <c r="H262" s="94"/>
    </row>
    <row r="263" spans="1:8" x14ac:dyDescent="0.3">
      <c r="A263" s="89" t="s">
        <v>357</v>
      </c>
      <c r="B263" s="90" t="s">
        <v>359</v>
      </c>
      <c r="C263" s="49" t="s">
        <v>360</v>
      </c>
      <c r="D263" s="93"/>
      <c r="E263" s="93">
        <v>7200</v>
      </c>
      <c r="F263" s="249"/>
      <c r="G263" s="98">
        <f>G262-E263</f>
        <v>1800</v>
      </c>
      <c r="H263" s="96"/>
    </row>
    <row r="264" spans="1:8" x14ac:dyDescent="0.3">
      <c r="A264" s="89" t="s">
        <v>639</v>
      </c>
      <c r="B264" s="90"/>
      <c r="C264" s="49" t="s">
        <v>771</v>
      </c>
      <c r="D264" s="93">
        <v>20000</v>
      </c>
      <c r="E264" s="93"/>
      <c r="F264" s="249"/>
      <c r="G264" s="98">
        <f>G263+D264</f>
        <v>21800</v>
      </c>
      <c r="H264" s="96"/>
    </row>
    <row r="265" spans="1:8" x14ac:dyDescent="0.3">
      <c r="A265" s="89" t="s">
        <v>739</v>
      </c>
      <c r="B265" s="90" t="s">
        <v>738</v>
      </c>
      <c r="C265" s="49" t="s">
        <v>740</v>
      </c>
      <c r="D265" s="93"/>
      <c r="E265" s="93">
        <v>7200</v>
      </c>
      <c r="F265" s="249"/>
      <c r="G265" s="98">
        <f>G264-E265</f>
        <v>14600</v>
      </c>
      <c r="H265" s="96" t="s">
        <v>741</v>
      </c>
    </row>
    <row r="266" spans="1:8" x14ac:dyDescent="0.3">
      <c r="A266" s="89" t="s">
        <v>742</v>
      </c>
      <c r="B266" s="90"/>
      <c r="C266" s="74" t="s">
        <v>772</v>
      </c>
      <c r="D266" s="236">
        <v>100000</v>
      </c>
      <c r="E266" s="93"/>
      <c r="F266" s="249"/>
      <c r="G266" s="98">
        <f>G265+D266</f>
        <v>114600</v>
      </c>
      <c r="H266" s="96"/>
    </row>
    <row r="267" spans="1:8" x14ac:dyDescent="0.3">
      <c r="A267" s="89"/>
      <c r="B267" s="90" t="s">
        <v>747</v>
      </c>
      <c r="C267" s="49" t="s">
        <v>748</v>
      </c>
      <c r="D267" s="236"/>
      <c r="E267" s="93"/>
      <c r="F267" s="249"/>
      <c r="G267" s="98">
        <f>G266-E267</f>
        <v>114600</v>
      </c>
      <c r="H267" s="192" t="s">
        <v>1883</v>
      </c>
    </row>
    <row r="268" spans="1:8" x14ac:dyDescent="0.3">
      <c r="A268" s="89" t="s">
        <v>948</v>
      </c>
      <c r="B268" s="90" t="s">
        <v>950</v>
      </c>
      <c r="C268" s="49" t="s">
        <v>951</v>
      </c>
      <c r="D268" s="236"/>
      <c r="E268" s="93">
        <v>260</v>
      </c>
      <c r="F268" s="249"/>
      <c r="G268" s="98">
        <f>G267-E268</f>
        <v>114340</v>
      </c>
      <c r="H268" s="96"/>
    </row>
    <row r="269" spans="1:8" x14ac:dyDescent="0.3">
      <c r="A269" s="89" t="s">
        <v>961</v>
      </c>
      <c r="B269" s="90"/>
      <c r="C269" s="49" t="s">
        <v>775</v>
      </c>
      <c r="D269" s="93">
        <v>-50000</v>
      </c>
      <c r="E269" s="93"/>
      <c r="F269" s="249"/>
      <c r="G269" s="98">
        <f>G268+D269</f>
        <v>64340</v>
      </c>
      <c r="H269" s="96"/>
    </row>
    <row r="270" spans="1:8" x14ac:dyDescent="0.3">
      <c r="A270" s="133" t="s">
        <v>1176</v>
      </c>
      <c r="B270" s="97"/>
      <c r="C270" s="49" t="s">
        <v>775</v>
      </c>
      <c r="D270" s="236">
        <v>-10000</v>
      </c>
      <c r="E270" s="93"/>
      <c r="F270" s="249"/>
      <c r="G270" s="98">
        <f>G269+D270</f>
        <v>54340</v>
      </c>
      <c r="H270" s="96"/>
    </row>
    <row r="271" spans="1:8" x14ac:dyDescent="0.3">
      <c r="A271" s="89" t="s">
        <v>1327</v>
      </c>
      <c r="B271" s="90" t="s">
        <v>1368</v>
      </c>
      <c r="C271" s="49" t="s">
        <v>1369</v>
      </c>
      <c r="D271" s="236"/>
      <c r="E271" s="93">
        <v>520</v>
      </c>
      <c r="F271" s="249"/>
      <c r="G271" s="98">
        <f>G270-E271</f>
        <v>53820</v>
      </c>
      <c r="H271" s="96"/>
    </row>
    <row r="272" spans="1:8" x14ac:dyDescent="0.3">
      <c r="A272" s="89" t="s">
        <v>1327</v>
      </c>
      <c r="B272" s="90" t="s">
        <v>1368</v>
      </c>
      <c r="C272" s="49" t="s">
        <v>1371</v>
      </c>
      <c r="D272" s="236"/>
      <c r="E272" s="93">
        <v>200</v>
      </c>
      <c r="F272" s="249"/>
      <c r="G272" s="98">
        <f>G271-E272</f>
        <v>53620</v>
      </c>
      <c r="H272" s="96"/>
    </row>
    <row r="273" spans="1:8" x14ac:dyDescent="0.3">
      <c r="A273" s="89"/>
      <c r="B273" s="97"/>
      <c r="C273" s="49" t="s">
        <v>1533</v>
      </c>
      <c r="D273" s="236">
        <v>-10000</v>
      </c>
      <c r="E273" s="93"/>
      <c r="F273" s="249"/>
      <c r="G273" s="98">
        <f>G272+D273</f>
        <v>43620</v>
      </c>
      <c r="H273" s="96"/>
    </row>
    <row r="274" spans="1:8" x14ac:dyDescent="0.3">
      <c r="A274" s="89" t="s">
        <v>1829</v>
      </c>
      <c r="B274" s="97"/>
      <c r="C274" s="49" t="s">
        <v>1828</v>
      </c>
      <c r="D274" s="236">
        <v>-22984</v>
      </c>
      <c r="E274" s="93"/>
      <c r="F274" s="249"/>
      <c r="G274" s="98">
        <f>G273+D274</f>
        <v>20636</v>
      </c>
      <c r="H274" s="96"/>
    </row>
    <row r="275" spans="1:8" x14ac:dyDescent="0.3">
      <c r="A275" s="89"/>
      <c r="B275" s="97" t="s">
        <v>1912</v>
      </c>
      <c r="C275" s="49" t="s">
        <v>1913</v>
      </c>
      <c r="D275" s="236"/>
      <c r="E275" s="93">
        <v>1050</v>
      </c>
      <c r="F275" s="249"/>
      <c r="G275" s="98">
        <f>G274-E275</f>
        <v>19586</v>
      </c>
      <c r="H275" s="96"/>
    </row>
    <row r="276" spans="1:8" x14ac:dyDescent="0.3">
      <c r="A276" s="89" t="s">
        <v>2058</v>
      </c>
      <c r="B276" s="97" t="s">
        <v>2057</v>
      </c>
      <c r="C276" s="49" t="s">
        <v>2056</v>
      </c>
      <c r="D276" s="236"/>
      <c r="E276" s="93">
        <v>520</v>
      </c>
      <c r="F276" s="249"/>
      <c r="G276" s="98">
        <f>G275-E276</f>
        <v>19066</v>
      </c>
      <c r="H276" s="96"/>
    </row>
    <row r="277" spans="1:8" x14ac:dyDescent="0.3">
      <c r="A277" s="89"/>
      <c r="B277" s="97"/>
      <c r="C277" s="49" t="s">
        <v>2334</v>
      </c>
      <c r="D277" s="236">
        <v>9700</v>
      </c>
      <c r="E277" s="93"/>
      <c r="F277" s="249"/>
      <c r="G277" s="98">
        <f>G276+D277</f>
        <v>28766</v>
      </c>
      <c r="H277" s="96"/>
    </row>
    <row r="278" spans="1:8" x14ac:dyDescent="0.3">
      <c r="A278" s="89" t="s">
        <v>2358</v>
      </c>
      <c r="B278" s="97" t="s">
        <v>2374</v>
      </c>
      <c r="C278" s="49" t="s">
        <v>2313</v>
      </c>
      <c r="D278" s="236"/>
      <c r="E278" s="93">
        <v>28615</v>
      </c>
      <c r="F278" s="249"/>
      <c r="G278" s="98">
        <f>G277-E278-F278</f>
        <v>151</v>
      </c>
      <c r="H278" s="96"/>
    </row>
    <row r="279" spans="1:8" x14ac:dyDescent="0.3">
      <c r="A279" s="89" t="s">
        <v>2403</v>
      </c>
      <c r="B279" s="97"/>
      <c r="C279" s="49" t="s">
        <v>2647</v>
      </c>
      <c r="D279" s="422">
        <v>130</v>
      </c>
      <c r="E279" s="93"/>
      <c r="F279" s="249"/>
      <c r="G279" s="98">
        <f>G278+D279</f>
        <v>281</v>
      </c>
      <c r="H279" s="96"/>
    </row>
    <row r="280" spans="1:8" x14ac:dyDescent="0.3">
      <c r="A280" s="89"/>
      <c r="B280" s="97"/>
      <c r="C280" s="49" t="s">
        <v>2470</v>
      </c>
      <c r="D280" s="236"/>
      <c r="E280" s="93">
        <v>260</v>
      </c>
      <c r="F280" s="249"/>
      <c r="G280" s="98">
        <f>G279-E280-F280</f>
        <v>21</v>
      </c>
      <c r="H280" s="96"/>
    </row>
    <row r="281" spans="1:8" ht="18.75" x14ac:dyDescent="0.3">
      <c r="A281" s="89"/>
      <c r="B281" s="97"/>
      <c r="C281" s="49"/>
      <c r="D281" s="236">
        <v>-21</v>
      </c>
      <c r="E281" s="93"/>
      <c r="F281" s="249"/>
      <c r="G281" s="349">
        <f>G280+D281</f>
        <v>0</v>
      </c>
      <c r="H281" s="96"/>
    </row>
    <row r="282" spans="1:8" x14ac:dyDescent="0.3">
      <c r="A282" s="133"/>
      <c r="B282" s="97"/>
      <c r="C282" s="49"/>
      <c r="D282" s="422"/>
      <c r="E282" s="93"/>
      <c r="F282" s="249"/>
      <c r="G282" s="98"/>
      <c r="H282" s="96"/>
    </row>
    <row r="283" spans="1:8" x14ac:dyDescent="0.3">
      <c r="A283" s="133"/>
      <c r="B283" s="97"/>
      <c r="C283" s="49"/>
      <c r="D283" s="99">
        <f>SUM(D7:D282)</f>
        <v>1381556.53</v>
      </c>
      <c r="E283" s="99">
        <f>SUM(E7:E282)</f>
        <v>1227920.6200000003</v>
      </c>
      <c r="F283" s="441">
        <f>SUM(F7:F282)</f>
        <v>153635.91</v>
      </c>
      <c r="G283" s="184">
        <f>D283-E283-F283</f>
        <v>-3.2014213502407074E-10</v>
      </c>
      <c r="H283" s="100"/>
    </row>
    <row r="284" spans="1:8" x14ac:dyDescent="0.3">
      <c r="A284" s="89"/>
      <c r="B284" s="90"/>
      <c r="C284" s="237" t="s">
        <v>140</v>
      </c>
      <c r="D284" s="141"/>
      <c r="E284" s="141"/>
      <c r="F284" s="380"/>
      <c r="G284" s="183"/>
      <c r="H284" s="150"/>
    </row>
    <row r="285" spans="1:8" x14ac:dyDescent="0.3">
      <c r="A285" s="89"/>
      <c r="B285" s="90"/>
      <c r="C285" s="74" t="s">
        <v>144</v>
      </c>
      <c r="D285" s="236">
        <v>20000</v>
      </c>
      <c r="E285" s="93"/>
      <c r="F285" s="249"/>
      <c r="G285" s="92">
        <v>20000</v>
      </c>
      <c r="H285" s="94"/>
    </row>
    <row r="286" spans="1:8" x14ac:dyDescent="0.3">
      <c r="A286" s="89" t="s">
        <v>229</v>
      </c>
      <c r="B286" s="90" t="s">
        <v>235</v>
      </c>
      <c r="C286" s="49" t="s">
        <v>607</v>
      </c>
      <c r="D286" s="93"/>
      <c r="E286" s="93">
        <v>6630.47</v>
      </c>
      <c r="F286" s="249"/>
      <c r="G286" s="92">
        <f>G285-E286</f>
        <v>13369.529999999999</v>
      </c>
      <c r="H286" s="94"/>
    </row>
    <row r="287" spans="1:8" x14ac:dyDescent="0.3">
      <c r="A287" s="89"/>
      <c r="B287" s="90" t="s">
        <v>605</v>
      </c>
      <c r="C287" s="49" t="s">
        <v>606</v>
      </c>
      <c r="D287" s="93"/>
      <c r="E287" s="93">
        <v>3326.84</v>
      </c>
      <c r="F287" s="249"/>
      <c r="G287" s="92">
        <f>G286-E287</f>
        <v>10042.689999999999</v>
      </c>
      <c r="H287" s="94"/>
    </row>
    <row r="288" spans="1:8" x14ac:dyDescent="0.3">
      <c r="A288" s="89" t="s">
        <v>639</v>
      </c>
      <c r="B288" s="90" t="s">
        <v>646</v>
      </c>
      <c r="C288" s="49" t="s">
        <v>645</v>
      </c>
      <c r="D288" s="93"/>
      <c r="E288" s="93">
        <v>4580.67</v>
      </c>
      <c r="F288" s="249"/>
      <c r="G288" s="92">
        <f>G287-E288</f>
        <v>5462.0199999999986</v>
      </c>
      <c r="H288" s="94"/>
    </row>
    <row r="289" spans="1:8" x14ac:dyDescent="0.3">
      <c r="A289" s="89" t="s">
        <v>816</v>
      </c>
      <c r="B289" s="90"/>
      <c r="C289" s="74" t="s">
        <v>862</v>
      </c>
      <c r="D289" s="93">
        <v>5000</v>
      </c>
      <c r="E289" s="93"/>
      <c r="F289" s="249"/>
      <c r="G289" s="92">
        <f>G288+D289</f>
        <v>10462.019999999999</v>
      </c>
      <c r="H289" s="94"/>
    </row>
    <row r="290" spans="1:8" x14ac:dyDescent="0.3">
      <c r="A290" s="89" t="s">
        <v>857</v>
      </c>
      <c r="B290" s="90" t="s">
        <v>874</v>
      </c>
      <c r="C290" s="49" t="s">
        <v>888</v>
      </c>
      <c r="D290" s="93"/>
      <c r="E290" s="93">
        <v>5509.43</v>
      </c>
      <c r="F290" s="249"/>
      <c r="G290" s="92">
        <f>G289-E290</f>
        <v>4952.5899999999983</v>
      </c>
      <c r="H290" s="94"/>
    </row>
    <row r="291" spans="1:8" x14ac:dyDescent="0.3">
      <c r="A291" s="89" t="s">
        <v>1030</v>
      </c>
      <c r="B291" s="90"/>
      <c r="C291" s="49" t="s">
        <v>1147</v>
      </c>
      <c r="D291" s="93">
        <v>140</v>
      </c>
      <c r="E291" s="93"/>
      <c r="F291" s="249"/>
      <c r="G291" s="92">
        <f>G290+D291</f>
        <v>5092.5899999999983</v>
      </c>
      <c r="H291" s="94"/>
    </row>
    <row r="292" spans="1:8" x14ac:dyDescent="0.3">
      <c r="A292" s="89" t="s">
        <v>1030</v>
      </c>
      <c r="B292" s="90" t="s">
        <v>1148</v>
      </c>
      <c r="C292" s="49" t="s">
        <v>1145</v>
      </c>
      <c r="D292" s="93"/>
      <c r="E292" s="93">
        <v>5091.49</v>
      </c>
      <c r="F292" s="249"/>
      <c r="G292" s="92">
        <f>G291-E292</f>
        <v>1.0999999999985448</v>
      </c>
      <c r="H292" s="94"/>
    </row>
    <row r="293" spans="1:8" x14ac:dyDescent="0.3">
      <c r="A293" s="89" t="s">
        <v>1176</v>
      </c>
      <c r="B293" s="90"/>
      <c r="C293" s="49" t="s">
        <v>1180</v>
      </c>
      <c r="D293" s="93">
        <v>4500</v>
      </c>
      <c r="E293" s="93"/>
      <c r="F293" s="249"/>
      <c r="G293" s="92">
        <f>G292+D293</f>
        <v>4501.0999999999985</v>
      </c>
      <c r="H293" s="94"/>
    </row>
    <row r="294" spans="1:8" x14ac:dyDescent="0.3">
      <c r="A294" s="89" t="s">
        <v>1176</v>
      </c>
      <c r="B294" s="90" t="s">
        <v>1183</v>
      </c>
      <c r="C294" s="49" t="s">
        <v>1184</v>
      </c>
      <c r="D294" s="93"/>
      <c r="E294" s="93">
        <v>4464.58</v>
      </c>
      <c r="F294" s="249"/>
      <c r="G294" s="92">
        <f>G293-E294</f>
        <v>36.519999999998618</v>
      </c>
      <c r="H294" s="94"/>
    </row>
    <row r="295" spans="1:8" x14ac:dyDescent="0.3">
      <c r="A295" s="133" t="s">
        <v>1207</v>
      </c>
      <c r="B295" s="97"/>
      <c r="C295" s="49" t="s">
        <v>1212</v>
      </c>
      <c r="D295" s="236">
        <v>10000</v>
      </c>
      <c r="E295" s="93"/>
      <c r="F295" s="249"/>
      <c r="G295" s="92">
        <f>G294+D295</f>
        <v>10036.519999999999</v>
      </c>
      <c r="H295" s="94"/>
    </row>
    <row r="296" spans="1:8" x14ac:dyDescent="0.3">
      <c r="A296" s="133" t="s">
        <v>1377</v>
      </c>
      <c r="B296" s="97" t="s">
        <v>1379</v>
      </c>
      <c r="C296" s="49" t="s">
        <v>1380</v>
      </c>
      <c r="D296" s="236"/>
      <c r="E296" s="93">
        <v>3233.97</v>
      </c>
      <c r="F296" s="249"/>
      <c r="G296" s="92">
        <f>G295-E296</f>
        <v>6802.5499999999993</v>
      </c>
      <c r="H296" s="94"/>
    </row>
    <row r="297" spans="1:8" x14ac:dyDescent="0.3">
      <c r="A297" s="89" t="s">
        <v>1524</v>
      </c>
      <c r="B297" s="90" t="s">
        <v>1523</v>
      </c>
      <c r="C297" s="49" t="s">
        <v>1522</v>
      </c>
      <c r="D297" s="93"/>
      <c r="E297" s="93">
        <v>3164.31</v>
      </c>
      <c r="F297" s="249"/>
      <c r="G297" s="92">
        <f>G296-E297</f>
        <v>3638.2399999999993</v>
      </c>
      <c r="H297" s="94"/>
    </row>
    <row r="298" spans="1:8" x14ac:dyDescent="0.3">
      <c r="A298" s="89" t="s">
        <v>1541</v>
      </c>
      <c r="B298" s="90"/>
      <c r="C298" s="49" t="s">
        <v>862</v>
      </c>
      <c r="D298" s="236">
        <v>3000</v>
      </c>
      <c r="E298" s="93"/>
      <c r="F298" s="249"/>
      <c r="G298" s="92">
        <f>G297+D298</f>
        <v>6638.24</v>
      </c>
      <c r="H298" s="94"/>
    </row>
    <row r="299" spans="1:8" x14ac:dyDescent="0.3">
      <c r="A299" s="89" t="s">
        <v>1592</v>
      </c>
      <c r="B299" s="90"/>
      <c r="C299" s="49" t="s">
        <v>1600</v>
      </c>
      <c r="D299" s="236">
        <v>10000</v>
      </c>
      <c r="E299" s="93"/>
      <c r="F299" s="249"/>
      <c r="G299" s="92">
        <f>G298+D299</f>
        <v>16638.239999999998</v>
      </c>
      <c r="H299" s="94"/>
    </row>
    <row r="300" spans="1:8" x14ac:dyDescent="0.3">
      <c r="A300" s="89" t="s">
        <v>1743</v>
      </c>
      <c r="B300" s="90" t="s">
        <v>1741</v>
      </c>
      <c r="C300" s="49" t="s">
        <v>1744</v>
      </c>
      <c r="D300" s="236"/>
      <c r="E300" s="93">
        <v>4209.17</v>
      </c>
      <c r="F300" s="249"/>
      <c r="G300" s="92">
        <f>G299-E300</f>
        <v>12429.069999999998</v>
      </c>
      <c r="H300" s="94"/>
    </row>
    <row r="301" spans="1:8" x14ac:dyDescent="0.3">
      <c r="A301" s="89" t="s">
        <v>2067</v>
      </c>
      <c r="B301" s="90" t="s">
        <v>2078</v>
      </c>
      <c r="C301" s="49" t="s">
        <v>2077</v>
      </c>
      <c r="D301" s="236"/>
      <c r="E301" s="93">
        <v>6206</v>
      </c>
      <c r="F301" s="249"/>
      <c r="G301" s="92">
        <f>G300-E301</f>
        <v>6223.0699999999979</v>
      </c>
      <c r="H301" s="94"/>
    </row>
    <row r="302" spans="1:8" x14ac:dyDescent="0.3">
      <c r="A302" s="89" t="s">
        <v>2403</v>
      </c>
      <c r="B302" s="90" t="s">
        <v>2453</v>
      </c>
      <c r="C302" s="49" t="s">
        <v>2454</v>
      </c>
      <c r="D302" s="236">
        <v>9000</v>
      </c>
      <c r="E302" s="93">
        <v>6925.84</v>
      </c>
      <c r="F302" s="249"/>
      <c r="G302" s="92">
        <f>G301+D302-E302</f>
        <v>8297.2299999999977</v>
      </c>
      <c r="H302" s="94"/>
    </row>
    <row r="303" spans="1:8" x14ac:dyDescent="0.3">
      <c r="A303" s="89" t="s">
        <v>2807</v>
      </c>
      <c r="B303" s="90" t="s">
        <v>2840</v>
      </c>
      <c r="C303" s="49" t="s">
        <v>2806</v>
      </c>
      <c r="D303" s="236"/>
      <c r="E303" s="93">
        <v>3187.53</v>
      </c>
      <c r="F303" s="249"/>
      <c r="G303" s="92">
        <f>G302-E303-F303</f>
        <v>5109.6999999999971</v>
      </c>
      <c r="H303" s="94"/>
    </row>
    <row r="304" spans="1:8" x14ac:dyDescent="0.3">
      <c r="A304" s="89"/>
      <c r="B304" s="90"/>
      <c r="C304" s="49"/>
      <c r="D304" s="236">
        <v>-297.23</v>
      </c>
      <c r="E304" s="93"/>
      <c r="F304" s="249"/>
      <c r="G304" s="92">
        <f>G303+D304</f>
        <v>4812.4699999999975</v>
      </c>
      <c r="H304" s="94"/>
    </row>
    <row r="305" spans="1:8" ht="18.75" x14ac:dyDescent="0.3">
      <c r="A305" s="89"/>
      <c r="B305" s="90"/>
      <c r="C305" s="49" t="s">
        <v>2901</v>
      </c>
      <c r="D305" s="93">
        <v>-4812.47</v>
      </c>
      <c r="E305" s="93"/>
      <c r="F305" s="249"/>
      <c r="G305" s="256">
        <f>G304+D305</f>
        <v>0</v>
      </c>
      <c r="H305" s="94"/>
    </row>
    <row r="306" spans="1:8" x14ac:dyDescent="0.3">
      <c r="A306" s="89"/>
      <c r="B306" s="90"/>
      <c r="C306" s="49"/>
      <c r="D306" s="93"/>
      <c r="E306" s="93"/>
      <c r="F306" s="249"/>
      <c r="G306" s="92"/>
      <c r="H306" s="94"/>
    </row>
    <row r="307" spans="1:8" x14ac:dyDescent="0.3">
      <c r="A307" s="89"/>
      <c r="B307" s="90"/>
      <c r="C307" s="74" t="s">
        <v>132</v>
      </c>
      <c r="D307" s="236">
        <v>200000</v>
      </c>
      <c r="E307" s="93"/>
      <c r="F307" s="249"/>
      <c r="G307" s="92">
        <f>D307</f>
        <v>200000</v>
      </c>
      <c r="H307" s="94"/>
    </row>
    <row r="308" spans="1:8" x14ac:dyDescent="0.3">
      <c r="A308" s="89" t="s">
        <v>213</v>
      </c>
      <c r="B308" s="90" t="s">
        <v>225</v>
      </c>
      <c r="C308" s="49" t="s">
        <v>226</v>
      </c>
      <c r="D308" s="93"/>
      <c r="E308" s="93">
        <v>76808.87</v>
      </c>
      <c r="F308" s="249"/>
      <c r="G308" s="92">
        <f>G307-E308</f>
        <v>123191.13</v>
      </c>
      <c r="H308" s="94"/>
    </row>
    <row r="309" spans="1:8" x14ac:dyDescent="0.3">
      <c r="A309" s="89" t="s">
        <v>731</v>
      </c>
      <c r="B309" s="90" t="s">
        <v>333</v>
      </c>
      <c r="C309" s="49" t="s">
        <v>334</v>
      </c>
      <c r="D309" s="93"/>
      <c r="E309" s="93">
        <v>83224.399999999994</v>
      </c>
      <c r="F309" s="249"/>
      <c r="G309" s="92">
        <f>G308-E309</f>
        <v>39966.73000000001</v>
      </c>
      <c r="H309" s="94"/>
    </row>
    <row r="310" spans="1:8" x14ac:dyDescent="0.3">
      <c r="A310" s="89" t="s">
        <v>639</v>
      </c>
      <c r="B310" s="90"/>
      <c r="C310" s="49" t="s">
        <v>773</v>
      </c>
      <c r="D310" s="93">
        <v>30000</v>
      </c>
      <c r="E310" s="93"/>
      <c r="F310" s="249"/>
      <c r="G310" s="92">
        <f>G309+D310</f>
        <v>69966.73000000001</v>
      </c>
      <c r="H310" s="94"/>
    </row>
    <row r="311" spans="1:8" x14ac:dyDescent="0.3">
      <c r="A311" s="89" t="s">
        <v>639</v>
      </c>
      <c r="B311" s="90" t="s">
        <v>644</v>
      </c>
      <c r="C311" s="49" t="s">
        <v>645</v>
      </c>
      <c r="D311" s="93"/>
      <c r="E311" s="93">
        <v>60274.67</v>
      </c>
      <c r="F311" s="249"/>
      <c r="G311" s="92">
        <f>G310-E311</f>
        <v>9692.0600000000122</v>
      </c>
      <c r="H311" s="94"/>
    </row>
    <row r="312" spans="1:8" x14ac:dyDescent="0.3">
      <c r="A312" s="89" t="s">
        <v>816</v>
      </c>
      <c r="B312" s="90"/>
      <c r="C312" s="49" t="s">
        <v>863</v>
      </c>
      <c r="D312" s="93">
        <v>120000</v>
      </c>
      <c r="E312" s="93"/>
      <c r="F312" s="249"/>
      <c r="G312" s="92">
        <f>G311+D312</f>
        <v>129692.06000000001</v>
      </c>
      <c r="H312" s="94"/>
    </row>
    <row r="313" spans="1:8" x14ac:dyDescent="0.3">
      <c r="A313" s="89" t="s">
        <v>857</v>
      </c>
      <c r="B313" s="90" t="s">
        <v>872</v>
      </c>
      <c r="C313" s="49" t="s">
        <v>873</v>
      </c>
      <c r="D313" s="93"/>
      <c r="E313" s="93">
        <v>51236.53</v>
      </c>
      <c r="F313" s="249"/>
      <c r="G313" s="92">
        <f>G312-E313</f>
        <v>78455.530000000013</v>
      </c>
      <c r="H313" s="94"/>
    </row>
    <row r="314" spans="1:8" x14ac:dyDescent="0.3">
      <c r="A314" s="89" t="s">
        <v>885</v>
      </c>
      <c r="B314" s="90"/>
      <c r="C314" s="49" t="s">
        <v>959</v>
      </c>
      <c r="D314" s="93">
        <v>-10000</v>
      </c>
      <c r="E314" s="93"/>
      <c r="F314" s="249"/>
      <c r="G314" s="92">
        <f>G313+D314</f>
        <v>68455.530000000013</v>
      </c>
      <c r="H314" s="94"/>
    </row>
    <row r="315" spans="1:8" x14ac:dyDescent="0.3">
      <c r="A315" s="89" t="s">
        <v>948</v>
      </c>
      <c r="B315" s="90"/>
      <c r="C315" s="49" t="s">
        <v>962</v>
      </c>
      <c r="D315" s="93">
        <v>50000</v>
      </c>
      <c r="E315" s="93"/>
      <c r="F315" s="249"/>
      <c r="G315" s="92">
        <f>G314+D315</f>
        <v>118455.53000000001</v>
      </c>
      <c r="H315" s="94"/>
    </row>
    <row r="316" spans="1:8" x14ac:dyDescent="0.3">
      <c r="A316" s="89" t="s">
        <v>988</v>
      </c>
      <c r="B316" s="90" t="s">
        <v>1000</v>
      </c>
      <c r="C316" s="49" t="s">
        <v>892</v>
      </c>
      <c r="D316" s="93"/>
      <c r="E316" s="93">
        <v>59862.47</v>
      </c>
      <c r="F316" s="249"/>
      <c r="G316" s="92">
        <f>G315-D316-E316</f>
        <v>58593.060000000012</v>
      </c>
      <c r="H316" s="94"/>
    </row>
    <row r="317" spans="1:8" x14ac:dyDescent="0.3">
      <c r="A317" s="89" t="s">
        <v>988</v>
      </c>
      <c r="B317" s="90"/>
      <c r="C317" s="49" t="s">
        <v>959</v>
      </c>
      <c r="D317" s="93">
        <v>-15000</v>
      </c>
      <c r="E317" s="93"/>
      <c r="F317" s="249"/>
      <c r="G317" s="92">
        <f>G316+D317</f>
        <v>43593.060000000012</v>
      </c>
      <c r="H317" s="94"/>
    </row>
    <row r="318" spans="1:8" x14ac:dyDescent="0.3">
      <c r="A318" s="89" t="s">
        <v>1176</v>
      </c>
      <c r="B318" s="90"/>
      <c r="C318" s="49" t="s">
        <v>1177</v>
      </c>
      <c r="D318" s="93">
        <v>43700</v>
      </c>
      <c r="E318" s="93"/>
      <c r="F318" s="249"/>
      <c r="G318" s="92">
        <f>G317+D318</f>
        <v>87293.060000000012</v>
      </c>
      <c r="H318" s="94"/>
    </row>
    <row r="319" spans="1:8" x14ac:dyDescent="0.3">
      <c r="A319" s="89" t="s">
        <v>1176</v>
      </c>
      <c r="B319" s="90" t="s">
        <v>1181</v>
      </c>
      <c r="C319" s="49" t="s">
        <v>1178</v>
      </c>
      <c r="D319" s="93"/>
      <c r="E319" s="93">
        <v>87263.82</v>
      </c>
      <c r="F319" s="249"/>
      <c r="G319" s="92">
        <f>G318-E319</f>
        <v>29.240000000005239</v>
      </c>
      <c r="H319" s="94"/>
    </row>
    <row r="320" spans="1:8" x14ac:dyDescent="0.3">
      <c r="A320" s="133" t="s">
        <v>1207</v>
      </c>
      <c r="B320" s="97"/>
      <c r="C320" s="49" t="s">
        <v>1212</v>
      </c>
      <c r="D320" s="236">
        <v>200000</v>
      </c>
      <c r="E320" s="93"/>
      <c r="F320" s="249"/>
      <c r="G320" s="92">
        <f>G319+D320</f>
        <v>200029.24</v>
      </c>
      <c r="H320" s="94"/>
    </row>
    <row r="321" spans="1:8" x14ac:dyDescent="0.3">
      <c r="A321" s="133" t="s">
        <v>1320</v>
      </c>
      <c r="B321" s="97" t="s">
        <v>1360</v>
      </c>
      <c r="C321" s="49" t="s">
        <v>1361</v>
      </c>
      <c r="D321" s="236"/>
      <c r="E321" s="93">
        <v>71830.559999999998</v>
      </c>
      <c r="F321" s="249"/>
      <c r="G321" s="92">
        <f>G320-E321</f>
        <v>128198.68</v>
      </c>
      <c r="H321" s="94"/>
    </row>
    <row r="322" spans="1:8" x14ac:dyDescent="0.3">
      <c r="A322" s="89" t="s">
        <v>1604</v>
      </c>
      <c r="B322" s="97" t="s">
        <v>1603</v>
      </c>
      <c r="C322" s="49" t="s">
        <v>1531</v>
      </c>
      <c r="D322" s="236"/>
      <c r="E322" s="93">
        <v>82995.210000000006</v>
      </c>
      <c r="F322" s="249"/>
      <c r="G322" s="92">
        <f>G321-E322</f>
        <v>45203.469999999987</v>
      </c>
      <c r="H322" s="94"/>
    </row>
    <row r="323" spans="1:8" x14ac:dyDescent="0.3">
      <c r="A323" s="89" t="s">
        <v>1592</v>
      </c>
      <c r="B323" s="90"/>
      <c r="C323" s="49" t="s">
        <v>1600</v>
      </c>
      <c r="D323" s="236">
        <v>320000</v>
      </c>
      <c r="E323" s="93"/>
      <c r="F323" s="249"/>
      <c r="G323" s="92">
        <f>G322+D323</f>
        <v>365203.47</v>
      </c>
      <c r="H323" s="94"/>
    </row>
    <row r="324" spans="1:8" x14ac:dyDescent="0.3">
      <c r="A324" s="89" t="s">
        <v>1701</v>
      </c>
      <c r="B324" s="97" t="s">
        <v>1747</v>
      </c>
      <c r="C324" s="49" t="s">
        <v>1725</v>
      </c>
      <c r="D324" s="236"/>
      <c r="E324" s="93">
        <v>85599.08</v>
      </c>
      <c r="F324" s="249"/>
      <c r="G324" s="92">
        <f>G323-E324</f>
        <v>279604.38999999996</v>
      </c>
      <c r="H324" s="94"/>
    </row>
    <row r="325" spans="1:8" x14ac:dyDescent="0.3">
      <c r="A325" s="89" t="s">
        <v>1989</v>
      </c>
      <c r="B325" s="97" t="s">
        <v>2040</v>
      </c>
      <c r="C325" s="49" t="s">
        <v>2007</v>
      </c>
      <c r="D325" s="236"/>
      <c r="E325" s="93">
        <v>84275.23</v>
      </c>
      <c r="F325" s="249"/>
      <c r="G325" s="92">
        <f>G324-E325</f>
        <v>195329.15999999997</v>
      </c>
      <c r="H325" s="94"/>
    </row>
    <row r="326" spans="1:8" x14ac:dyDescent="0.3">
      <c r="A326" s="89"/>
      <c r="B326" s="97"/>
      <c r="C326" s="49" t="s">
        <v>2407</v>
      </c>
      <c r="D326" s="236"/>
      <c r="E326" s="93">
        <v>82070.19</v>
      </c>
      <c r="F326" s="249"/>
      <c r="G326" s="92">
        <f>G325-E326-F326</f>
        <v>113258.96999999997</v>
      </c>
      <c r="H326" s="94"/>
    </row>
    <row r="327" spans="1:8" x14ac:dyDescent="0.3">
      <c r="A327" s="89"/>
      <c r="B327" s="97"/>
      <c r="C327" s="49" t="s">
        <v>2284</v>
      </c>
      <c r="D327" s="236"/>
      <c r="E327" s="93">
        <v>81976.350000000006</v>
      </c>
      <c r="F327" s="249"/>
      <c r="G327" s="92">
        <f>G326-E327-F327</f>
        <v>31282.619999999966</v>
      </c>
      <c r="H327" s="94"/>
    </row>
    <row r="328" spans="1:8" x14ac:dyDescent="0.3">
      <c r="A328" s="89"/>
      <c r="B328" s="97"/>
      <c r="C328" s="74" t="s">
        <v>2455</v>
      </c>
      <c r="D328" s="236">
        <v>-9000</v>
      </c>
      <c r="E328" s="93"/>
      <c r="F328" s="249"/>
      <c r="G328" s="92">
        <f>G327+D328</f>
        <v>22282.619999999966</v>
      </c>
      <c r="H328" s="94"/>
    </row>
    <row r="329" spans="1:8" x14ac:dyDescent="0.3">
      <c r="A329" s="89"/>
      <c r="B329" s="97"/>
      <c r="C329" s="74"/>
      <c r="D329" s="236">
        <v>-14258.97</v>
      </c>
      <c r="E329" s="93"/>
      <c r="F329" s="249"/>
      <c r="G329" s="92">
        <f>G328+D329</f>
        <v>8023.6499999999669</v>
      </c>
      <c r="H329" s="94"/>
    </row>
    <row r="330" spans="1:8" x14ac:dyDescent="0.3">
      <c r="A330" s="89"/>
      <c r="B330" s="97"/>
      <c r="C330" s="74" t="s">
        <v>2900</v>
      </c>
      <c r="D330" s="236">
        <v>-8023.65</v>
      </c>
      <c r="E330" s="93"/>
      <c r="F330" s="249"/>
      <c r="G330" s="92">
        <f>G329+D330</f>
        <v>-3.2741809263825417E-11</v>
      </c>
      <c r="H330" s="94"/>
    </row>
    <row r="331" spans="1:8" x14ac:dyDescent="0.3">
      <c r="A331" s="133"/>
      <c r="B331" s="97"/>
      <c r="C331" s="49"/>
      <c r="D331" s="236"/>
      <c r="E331" s="93"/>
      <c r="F331" s="249"/>
      <c r="G331" s="92"/>
      <c r="H331" s="94"/>
    </row>
    <row r="332" spans="1:8" x14ac:dyDescent="0.3">
      <c r="A332" s="89"/>
      <c r="B332" s="90"/>
      <c r="C332" s="74" t="s">
        <v>133</v>
      </c>
      <c r="D332" s="236">
        <v>30000</v>
      </c>
      <c r="E332" s="93"/>
      <c r="F332" s="249"/>
      <c r="G332" s="92">
        <f>D332</f>
        <v>30000</v>
      </c>
      <c r="H332" s="94"/>
    </row>
    <row r="333" spans="1:8" x14ac:dyDescent="0.3">
      <c r="A333" s="89" t="s">
        <v>229</v>
      </c>
      <c r="B333" s="90" t="s">
        <v>236</v>
      </c>
      <c r="C333" s="49" t="s">
        <v>362</v>
      </c>
      <c r="D333" s="93"/>
      <c r="E333" s="93">
        <v>4863</v>
      </c>
      <c r="F333" s="249"/>
      <c r="G333" s="92">
        <f>G332-E333</f>
        <v>25137</v>
      </c>
      <c r="H333" s="94"/>
    </row>
    <row r="334" spans="1:8" x14ac:dyDescent="0.3">
      <c r="A334" s="89" t="s">
        <v>196</v>
      </c>
      <c r="B334" s="90" t="s">
        <v>364</v>
      </c>
      <c r="C334" s="49" t="s">
        <v>363</v>
      </c>
      <c r="D334" s="93"/>
      <c r="E334" s="93">
        <v>4290</v>
      </c>
      <c r="F334" s="249"/>
      <c r="G334" s="92">
        <f>G333-E334</f>
        <v>20847</v>
      </c>
      <c r="H334" s="94"/>
    </row>
    <row r="335" spans="1:8" x14ac:dyDescent="0.3">
      <c r="A335" s="89" t="s">
        <v>654</v>
      </c>
      <c r="B335" s="90" t="s">
        <v>653</v>
      </c>
      <c r="C335" s="49" t="s">
        <v>645</v>
      </c>
      <c r="D335" s="93"/>
      <c r="E335" s="93">
        <v>3084</v>
      </c>
      <c r="F335" s="249"/>
      <c r="G335" s="92">
        <f>G334-E335</f>
        <v>17763</v>
      </c>
      <c r="H335" s="94"/>
    </row>
    <row r="336" spans="1:8" x14ac:dyDescent="0.3">
      <c r="A336" s="89" t="s">
        <v>816</v>
      </c>
      <c r="B336" s="90"/>
      <c r="C336" s="49" t="s">
        <v>775</v>
      </c>
      <c r="D336" s="93">
        <v>-10000</v>
      </c>
      <c r="E336" s="93"/>
      <c r="F336" s="249"/>
      <c r="G336" s="92">
        <f>G335+D336</f>
        <v>7763</v>
      </c>
      <c r="H336" s="94"/>
    </row>
    <row r="337" spans="1:8" x14ac:dyDescent="0.3">
      <c r="A337" s="89" t="s">
        <v>885</v>
      </c>
      <c r="B337" s="90" t="s">
        <v>886</v>
      </c>
      <c r="C337" s="49" t="s">
        <v>888</v>
      </c>
      <c r="D337" s="93"/>
      <c r="E337" s="93">
        <v>16651</v>
      </c>
      <c r="F337" s="249"/>
      <c r="G337" s="92">
        <f>G336-E337</f>
        <v>-8888</v>
      </c>
      <c r="H337" s="94"/>
    </row>
    <row r="338" spans="1:8" x14ac:dyDescent="0.3">
      <c r="A338" s="89" t="s">
        <v>885</v>
      </c>
      <c r="B338" s="90"/>
      <c r="C338" s="49" t="s">
        <v>887</v>
      </c>
      <c r="D338" s="93">
        <v>10000</v>
      </c>
      <c r="E338" s="93"/>
      <c r="F338" s="249"/>
      <c r="G338" s="92">
        <f>G337+D338</f>
        <v>1112</v>
      </c>
      <c r="H338" s="94"/>
    </row>
    <row r="339" spans="1:8" x14ac:dyDescent="0.3">
      <c r="A339" s="89" t="s">
        <v>988</v>
      </c>
      <c r="B339" s="90"/>
      <c r="C339" s="49" t="s">
        <v>887</v>
      </c>
      <c r="D339" s="93">
        <v>15000</v>
      </c>
      <c r="E339" s="93"/>
      <c r="F339" s="249"/>
      <c r="G339" s="92">
        <f>G338+D339</f>
        <v>16112</v>
      </c>
      <c r="H339" s="94"/>
    </row>
    <row r="340" spans="1:8" x14ac:dyDescent="0.3">
      <c r="A340" s="89" t="s">
        <v>988</v>
      </c>
      <c r="B340" s="90" t="s">
        <v>1000</v>
      </c>
      <c r="C340" s="49" t="s">
        <v>1001</v>
      </c>
      <c r="D340" s="93"/>
      <c r="E340" s="93">
        <v>14826</v>
      </c>
      <c r="F340" s="249"/>
      <c r="G340" s="92">
        <f>G339-E340</f>
        <v>1286</v>
      </c>
      <c r="H340" s="94"/>
    </row>
    <row r="341" spans="1:8" x14ac:dyDescent="0.3">
      <c r="A341" s="89" t="s">
        <v>1176</v>
      </c>
      <c r="B341" s="90"/>
      <c r="C341" s="49" t="s">
        <v>1180</v>
      </c>
      <c r="D341" s="93">
        <v>1300</v>
      </c>
      <c r="E341" s="93"/>
      <c r="F341" s="249"/>
      <c r="G341" s="92">
        <f>G340+D341</f>
        <v>2586</v>
      </c>
      <c r="H341" s="94"/>
    </row>
    <row r="342" spans="1:8" x14ac:dyDescent="0.3">
      <c r="A342" s="89" t="s">
        <v>1176</v>
      </c>
      <c r="B342" s="90" t="s">
        <v>1179</v>
      </c>
      <c r="C342" s="49" t="s">
        <v>1182</v>
      </c>
      <c r="D342" s="93"/>
      <c r="E342" s="93">
        <v>2584</v>
      </c>
      <c r="F342" s="249"/>
      <c r="G342" s="92">
        <f>G341-E342</f>
        <v>2</v>
      </c>
      <c r="H342" s="94"/>
    </row>
    <row r="343" spans="1:8" x14ac:dyDescent="0.3">
      <c r="A343" s="133" t="s">
        <v>1207</v>
      </c>
      <c r="B343" s="97"/>
      <c r="C343" s="49" t="s">
        <v>1212</v>
      </c>
      <c r="D343" s="236">
        <v>10000</v>
      </c>
      <c r="E343" s="93"/>
      <c r="F343" s="249"/>
      <c r="G343" s="92">
        <f>G342+D343</f>
        <v>10002</v>
      </c>
      <c r="H343" s="94"/>
    </row>
    <row r="344" spans="1:8" x14ac:dyDescent="0.3">
      <c r="A344" s="133" t="s">
        <v>1408</v>
      </c>
      <c r="B344" s="97" t="s">
        <v>1414</v>
      </c>
      <c r="C344" s="49" t="s">
        <v>1415</v>
      </c>
      <c r="D344" s="236"/>
      <c r="E344" s="93">
        <v>2973</v>
      </c>
      <c r="F344" s="249"/>
      <c r="G344" s="92">
        <f>G343-E344</f>
        <v>7029</v>
      </c>
      <c r="H344" s="94"/>
    </row>
    <row r="345" spans="1:8" x14ac:dyDescent="0.3">
      <c r="A345" s="89" t="s">
        <v>1592</v>
      </c>
      <c r="B345" s="90"/>
      <c r="C345" s="49" t="s">
        <v>1600</v>
      </c>
      <c r="D345" s="236">
        <v>40000</v>
      </c>
      <c r="E345" s="93"/>
      <c r="F345" s="249"/>
      <c r="G345" s="92">
        <f>G344+D345</f>
        <v>47029</v>
      </c>
      <c r="H345" s="94"/>
    </row>
    <row r="346" spans="1:8" x14ac:dyDescent="0.3">
      <c r="A346" s="89" t="s">
        <v>1606</v>
      </c>
      <c r="B346" s="97" t="s">
        <v>1605</v>
      </c>
      <c r="C346" s="49" t="s">
        <v>1420</v>
      </c>
      <c r="D346" s="236"/>
      <c r="E346" s="93">
        <v>9490</v>
      </c>
      <c r="F346" s="249"/>
      <c r="G346" s="92">
        <f>G345-E346</f>
        <v>37539</v>
      </c>
      <c r="H346" s="94"/>
    </row>
    <row r="347" spans="1:8" x14ac:dyDescent="0.3">
      <c r="A347" s="89" t="s">
        <v>1743</v>
      </c>
      <c r="B347" s="90" t="s">
        <v>1745</v>
      </c>
      <c r="C347" s="49" t="s">
        <v>1746</v>
      </c>
      <c r="D347" s="236"/>
      <c r="E347" s="93">
        <v>4396</v>
      </c>
      <c r="F347" s="249"/>
      <c r="G347" s="92">
        <f>G346-E347</f>
        <v>33143</v>
      </c>
      <c r="H347" s="94"/>
    </row>
    <row r="348" spans="1:8" x14ac:dyDescent="0.3">
      <c r="A348" s="89" t="s">
        <v>2058</v>
      </c>
      <c r="B348" s="90" t="s">
        <v>2060</v>
      </c>
      <c r="C348" s="49" t="s">
        <v>2059</v>
      </c>
      <c r="D348" s="236"/>
      <c r="E348" s="93">
        <v>4112</v>
      </c>
      <c r="F348" s="249"/>
      <c r="G348" s="92">
        <f>G347-E348</f>
        <v>29031</v>
      </c>
      <c r="H348" s="94"/>
    </row>
    <row r="349" spans="1:8" x14ac:dyDescent="0.3">
      <c r="A349" s="89"/>
      <c r="B349" s="90"/>
      <c r="C349" s="49" t="s">
        <v>2842</v>
      </c>
      <c r="D349" s="236"/>
      <c r="E349" s="93">
        <v>6255</v>
      </c>
      <c r="F349" s="249"/>
      <c r="G349" s="92">
        <f>G348-E349-F349</f>
        <v>22776</v>
      </c>
      <c r="H349" s="94"/>
    </row>
    <row r="350" spans="1:8" x14ac:dyDescent="0.3">
      <c r="A350" s="89" t="s">
        <v>2807</v>
      </c>
      <c r="B350" s="90" t="s">
        <v>2843</v>
      </c>
      <c r="C350" s="49" t="s">
        <v>2844</v>
      </c>
      <c r="D350" s="236"/>
      <c r="E350" s="93">
        <v>5354</v>
      </c>
      <c r="F350" s="249"/>
      <c r="G350" s="92">
        <f>G349-E350-F350</f>
        <v>17422</v>
      </c>
      <c r="H350" s="94"/>
    </row>
    <row r="351" spans="1:8" x14ac:dyDescent="0.3">
      <c r="A351" s="89"/>
      <c r="B351" s="90"/>
      <c r="C351" s="49" t="s">
        <v>2460</v>
      </c>
      <c r="D351" s="236">
        <v>-2400</v>
      </c>
      <c r="E351" s="93"/>
      <c r="F351" s="249"/>
      <c r="G351" s="92">
        <f>G350+D351</f>
        <v>15022</v>
      </c>
      <c r="H351" s="94"/>
    </row>
    <row r="352" spans="1:8" ht="18.75" x14ac:dyDescent="0.3">
      <c r="A352" s="89"/>
      <c r="B352" s="90"/>
      <c r="C352" s="49" t="s">
        <v>2841</v>
      </c>
      <c r="D352" s="236">
        <v>-11631</v>
      </c>
      <c r="E352" s="93"/>
      <c r="F352" s="249"/>
      <c r="G352" s="256">
        <f>G351+D352</f>
        <v>3391</v>
      </c>
      <c r="H352" s="94"/>
    </row>
    <row r="353" spans="1:8" ht="18.75" x14ac:dyDescent="0.3">
      <c r="A353" s="89"/>
      <c r="B353" s="90"/>
      <c r="C353" s="49" t="s">
        <v>2642</v>
      </c>
      <c r="D353" s="236">
        <v>-745</v>
      </c>
      <c r="E353" s="93"/>
      <c r="F353" s="249"/>
      <c r="G353" s="256">
        <f>G352+D353</f>
        <v>2646</v>
      </c>
      <c r="H353" s="94"/>
    </row>
    <row r="354" spans="1:8" ht="18.75" x14ac:dyDescent="0.3">
      <c r="A354" s="89"/>
      <c r="B354" s="90"/>
      <c r="C354" s="49" t="s">
        <v>2901</v>
      </c>
      <c r="D354" s="93">
        <v>-2646</v>
      </c>
      <c r="E354" s="93"/>
      <c r="F354" s="249"/>
      <c r="G354" s="256">
        <f>G353+D354</f>
        <v>0</v>
      </c>
      <c r="H354" s="94"/>
    </row>
    <row r="355" spans="1:8" x14ac:dyDescent="0.3">
      <c r="A355" s="89"/>
      <c r="B355" s="90"/>
      <c r="C355" s="49"/>
      <c r="D355" s="93"/>
      <c r="E355" s="93"/>
      <c r="F355" s="249"/>
      <c r="G355" s="92"/>
      <c r="H355" s="94"/>
    </row>
    <row r="356" spans="1:8" x14ac:dyDescent="0.3">
      <c r="A356" s="89"/>
      <c r="B356" s="90"/>
      <c r="C356" s="49"/>
      <c r="D356" s="93"/>
      <c r="E356" s="93"/>
      <c r="F356" s="249"/>
      <c r="G356" s="92"/>
      <c r="H356" s="94"/>
    </row>
    <row r="357" spans="1:8" x14ac:dyDescent="0.3">
      <c r="A357" s="89"/>
      <c r="B357" s="90"/>
      <c r="C357" s="74" t="s">
        <v>136</v>
      </c>
      <c r="D357" s="236">
        <v>20000</v>
      </c>
      <c r="E357" s="93"/>
      <c r="F357" s="249"/>
      <c r="G357" s="92">
        <f>D357</f>
        <v>20000</v>
      </c>
      <c r="H357" s="94"/>
    </row>
    <row r="358" spans="1:8" x14ac:dyDescent="0.3">
      <c r="A358" s="95" t="s">
        <v>229</v>
      </c>
      <c r="B358" s="97" t="s">
        <v>234</v>
      </c>
      <c r="C358" s="49" t="s">
        <v>612</v>
      </c>
      <c r="D358" s="93"/>
      <c r="E358" s="93">
        <v>300.88</v>
      </c>
      <c r="F358" s="249"/>
      <c r="G358" s="92">
        <f>G357-E358</f>
        <v>19699.12</v>
      </c>
      <c r="H358" s="96"/>
    </row>
    <row r="359" spans="1:8" x14ac:dyDescent="0.3">
      <c r="A359" s="95" t="s">
        <v>581</v>
      </c>
      <c r="B359" s="97" t="s">
        <v>586</v>
      </c>
      <c r="C359" s="49" t="s">
        <v>585</v>
      </c>
      <c r="D359" s="93"/>
      <c r="E359" s="93">
        <v>693.26</v>
      </c>
      <c r="F359" s="249"/>
      <c r="G359" s="92">
        <f>G358-E359</f>
        <v>19005.86</v>
      </c>
      <c r="H359" s="96"/>
    </row>
    <row r="360" spans="1:8" x14ac:dyDescent="0.3">
      <c r="A360" s="95" t="s">
        <v>658</v>
      </c>
      <c r="B360" s="97" t="s">
        <v>660</v>
      </c>
      <c r="C360" s="49" t="s">
        <v>608</v>
      </c>
      <c r="D360" s="93"/>
      <c r="E360" s="93">
        <v>714.6</v>
      </c>
      <c r="F360" s="249"/>
      <c r="G360" s="92">
        <f>G359-E360</f>
        <v>18291.260000000002</v>
      </c>
      <c r="H360" s="96"/>
    </row>
    <row r="361" spans="1:8" x14ac:dyDescent="0.3">
      <c r="A361" s="95"/>
      <c r="B361" s="97" t="s">
        <v>660</v>
      </c>
      <c r="C361" s="49" t="s">
        <v>659</v>
      </c>
      <c r="D361" s="93"/>
      <c r="E361" s="93">
        <v>807.1</v>
      </c>
      <c r="F361" s="249"/>
      <c r="G361" s="92">
        <f>G360-E361</f>
        <v>17484.160000000003</v>
      </c>
      <c r="H361" s="96"/>
    </row>
    <row r="362" spans="1:8" x14ac:dyDescent="0.3">
      <c r="A362" s="89" t="s">
        <v>816</v>
      </c>
      <c r="B362" s="90"/>
      <c r="C362" s="49" t="s">
        <v>775</v>
      </c>
      <c r="D362" s="93">
        <v>-10000</v>
      </c>
      <c r="E362" s="93"/>
      <c r="F362" s="249"/>
      <c r="G362" s="98">
        <f>G361+D362</f>
        <v>7484.1600000000035</v>
      </c>
      <c r="H362" s="96"/>
    </row>
    <row r="363" spans="1:8" x14ac:dyDescent="0.3">
      <c r="A363" s="89" t="s">
        <v>901</v>
      </c>
      <c r="B363" s="97" t="s">
        <v>914</v>
      </c>
      <c r="C363" s="49" t="s">
        <v>913</v>
      </c>
      <c r="D363" s="93"/>
      <c r="E363" s="93">
        <v>714.6</v>
      </c>
      <c r="F363" s="249"/>
      <c r="G363" s="98">
        <f>G362-E363</f>
        <v>6769.5600000000031</v>
      </c>
      <c r="H363" s="96"/>
    </row>
    <row r="364" spans="1:8" x14ac:dyDescent="0.3">
      <c r="A364" s="89" t="s">
        <v>1106</v>
      </c>
      <c r="B364" s="97" t="s">
        <v>1110</v>
      </c>
      <c r="C364" s="49" t="s">
        <v>1109</v>
      </c>
      <c r="D364" s="93"/>
      <c r="E364" s="93">
        <v>747.11</v>
      </c>
      <c r="F364" s="249"/>
      <c r="G364" s="98">
        <f>G363-E364</f>
        <v>6022.4500000000035</v>
      </c>
      <c r="H364" s="96"/>
    </row>
    <row r="365" spans="1:8" x14ac:dyDescent="0.3">
      <c r="A365" s="89"/>
      <c r="B365" s="97"/>
      <c r="C365" s="49" t="s">
        <v>1146</v>
      </c>
      <c r="D365" s="93">
        <v>-140</v>
      </c>
      <c r="E365" s="93"/>
      <c r="F365" s="249"/>
      <c r="G365" s="98">
        <f>G364+D365</f>
        <v>5882.4500000000035</v>
      </c>
      <c r="H365" s="96"/>
    </row>
    <row r="366" spans="1:8" x14ac:dyDescent="0.3">
      <c r="A366" s="89" t="s">
        <v>1202</v>
      </c>
      <c r="B366" s="97" t="s">
        <v>1248</v>
      </c>
      <c r="C366" s="49" t="s">
        <v>1249</v>
      </c>
      <c r="D366" s="93"/>
      <c r="E366" s="93">
        <v>741.54</v>
      </c>
      <c r="F366" s="249"/>
      <c r="G366" s="98">
        <f t="shared" ref="G366:G371" si="13">G365-E366</f>
        <v>5140.9100000000035</v>
      </c>
      <c r="H366" s="96"/>
    </row>
    <row r="367" spans="1:8" x14ac:dyDescent="0.3">
      <c r="A367" s="89" t="s">
        <v>1430</v>
      </c>
      <c r="B367" s="97" t="s">
        <v>1439</v>
      </c>
      <c r="C367" s="49" t="s">
        <v>1438</v>
      </c>
      <c r="D367" s="93"/>
      <c r="E367" s="93">
        <v>648.14</v>
      </c>
      <c r="F367" s="249"/>
      <c r="G367" s="98">
        <f t="shared" si="13"/>
        <v>4492.7700000000032</v>
      </c>
      <c r="H367" s="96"/>
    </row>
    <row r="368" spans="1:8" x14ac:dyDescent="0.3">
      <c r="A368" s="89" t="s">
        <v>1670</v>
      </c>
      <c r="B368" s="97" t="s">
        <v>1671</v>
      </c>
      <c r="C368" s="49" t="s">
        <v>1672</v>
      </c>
      <c r="D368" s="93"/>
      <c r="E368" s="93">
        <v>645.21</v>
      </c>
      <c r="F368" s="249"/>
      <c r="G368" s="98">
        <f t="shared" si="13"/>
        <v>3847.5600000000031</v>
      </c>
      <c r="H368" s="96"/>
    </row>
    <row r="369" spans="1:8" x14ac:dyDescent="0.3">
      <c r="A369" s="89" t="s">
        <v>1829</v>
      </c>
      <c r="B369" s="97" t="s">
        <v>1911</v>
      </c>
      <c r="C369" s="49" t="s">
        <v>2281</v>
      </c>
      <c r="D369" s="93"/>
      <c r="E369" s="93">
        <v>631.84</v>
      </c>
      <c r="F369" s="249"/>
      <c r="G369" s="98">
        <f t="shared" si="13"/>
        <v>3215.720000000003</v>
      </c>
      <c r="H369" s="96"/>
    </row>
    <row r="370" spans="1:8" x14ac:dyDescent="0.3">
      <c r="A370" s="95" t="s">
        <v>2102</v>
      </c>
      <c r="B370" s="97" t="s">
        <v>2107</v>
      </c>
      <c r="C370" s="49" t="s">
        <v>2108</v>
      </c>
      <c r="D370" s="93"/>
      <c r="E370" s="93">
        <v>662.3</v>
      </c>
      <c r="F370" s="249"/>
      <c r="G370" s="98">
        <f t="shared" si="13"/>
        <v>2553.4200000000028</v>
      </c>
      <c r="H370" s="96"/>
    </row>
    <row r="371" spans="1:8" x14ac:dyDescent="0.3">
      <c r="A371" s="95" t="s">
        <v>2312</v>
      </c>
      <c r="B371" s="97"/>
      <c r="C371" s="49" t="s">
        <v>2282</v>
      </c>
      <c r="D371" s="93"/>
      <c r="E371" s="93">
        <v>618.46</v>
      </c>
      <c r="F371" s="249"/>
      <c r="G371" s="98">
        <f t="shared" si="13"/>
        <v>1934.9600000000028</v>
      </c>
      <c r="H371" s="96"/>
    </row>
    <row r="372" spans="1:8" x14ac:dyDescent="0.3">
      <c r="A372" s="95" t="s">
        <v>2641</v>
      </c>
      <c r="B372" s="97" t="s">
        <v>2690</v>
      </c>
      <c r="C372" s="49" t="s">
        <v>2691</v>
      </c>
      <c r="D372" s="93"/>
      <c r="E372" s="93">
        <v>798.22</v>
      </c>
      <c r="F372" s="254"/>
      <c r="G372" s="98">
        <f>G371-E372-F372</f>
        <v>1136.7400000000027</v>
      </c>
      <c r="H372" s="96"/>
    </row>
    <row r="373" spans="1:8" x14ac:dyDescent="0.3">
      <c r="A373" s="95"/>
      <c r="B373" s="97"/>
      <c r="C373" s="49" t="s">
        <v>2283</v>
      </c>
      <c r="D373" s="93"/>
      <c r="E373" s="93"/>
      <c r="F373" s="249"/>
      <c r="G373" s="98">
        <f>G372-E373-F373</f>
        <v>1136.7400000000027</v>
      </c>
      <c r="H373" s="96"/>
    </row>
    <row r="374" spans="1:8" x14ac:dyDescent="0.3">
      <c r="A374" s="95"/>
      <c r="B374" s="97"/>
      <c r="C374" s="49" t="s">
        <v>2461</v>
      </c>
      <c r="D374" s="93">
        <v>2400</v>
      </c>
      <c r="E374" s="93"/>
      <c r="F374" s="249"/>
      <c r="G374" s="98">
        <f>G373+D374</f>
        <v>3536.7400000000025</v>
      </c>
      <c r="H374" s="96"/>
    </row>
    <row r="375" spans="1:8" x14ac:dyDescent="0.3">
      <c r="A375" s="95" t="s">
        <v>2641</v>
      </c>
      <c r="B375" s="97" t="s">
        <v>2692</v>
      </c>
      <c r="C375" s="49" t="s">
        <v>2693</v>
      </c>
      <c r="D375" s="93"/>
      <c r="E375" s="93">
        <v>1710.93</v>
      </c>
      <c r="F375" s="254"/>
      <c r="G375" s="98">
        <f>G374-E375-F375</f>
        <v>1825.8100000000024</v>
      </c>
      <c r="H375" s="96"/>
    </row>
    <row r="376" spans="1:8" x14ac:dyDescent="0.3">
      <c r="A376" s="95"/>
      <c r="B376" s="97"/>
      <c r="C376" s="49" t="s">
        <v>2643</v>
      </c>
      <c r="D376" s="93">
        <v>745</v>
      </c>
      <c r="E376" s="93"/>
      <c r="F376" s="254"/>
      <c r="G376" s="98">
        <f>G375+D376</f>
        <v>2570.8100000000022</v>
      </c>
      <c r="H376" s="96"/>
    </row>
    <row r="377" spans="1:8" x14ac:dyDescent="0.3">
      <c r="A377" s="95"/>
      <c r="B377" s="97"/>
      <c r="C377" s="49" t="s">
        <v>2644</v>
      </c>
      <c r="D377" s="93"/>
      <c r="E377" s="93"/>
      <c r="F377" s="254"/>
      <c r="G377" s="98">
        <f>G376-E377-F377</f>
        <v>2570.8100000000022</v>
      </c>
      <c r="H377" s="96"/>
    </row>
    <row r="378" spans="1:8" ht="18.75" x14ac:dyDescent="0.3">
      <c r="A378" s="95"/>
      <c r="B378" s="97"/>
      <c r="C378" s="49"/>
      <c r="D378" s="93">
        <v>-334.96</v>
      </c>
      <c r="E378" s="93"/>
      <c r="F378" s="249"/>
      <c r="G378" s="423">
        <f>G377+D378</f>
        <v>2235.8500000000022</v>
      </c>
      <c r="H378" s="96"/>
    </row>
    <row r="379" spans="1:8" ht="18.75" x14ac:dyDescent="0.3">
      <c r="A379" s="89"/>
      <c r="B379" s="97"/>
      <c r="C379" s="49" t="s">
        <v>2901</v>
      </c>
      <c r="D379" s="93">
        <v>-2235.85</v>
      </c>
      <c r="E379" s="93"/>
      <c r="F379" s="249"/>
      <c r="G379" s="349">
        <f>G378+D379</f>
        <v>0</v>
      </c>
      <c r="H379" s="96"/>
    </row>
    <row r="380" spans="1:8" x14ac:dyDescent="0.3">
      <c r="A380" s="89"/>
      <c r="B380" s="97"/>
      <c r="C380" s="49"/>
      <c r="D380" s="93"/>
      <c r="E380" s="93"/>
      <c r="F380" s="249"/>
      <c r="G380" s="98"/>
      <c r="H380" s="96"/>
    </row>
    <row r="381" spans="1:8" x14ac:dyDescent="0.3">
      <c r="A381" s="89"/>
      <c r="B381" s="97"/>
      <c r="C381" s="49"/>
      <c r="D381" s="93"/>
      <c r="E381" s="93"/>
      <c r="F381" s="249"/>
      <c r="G381" s="98"/>
      <c r="H381" s="96"/>
    </row>
    <row r="382" spans="1:8" x14ac:dyDescent="0.3">
      <c r="A382" s="89"/>
      <c r="B382" s="97"/>
      <c r="C382" s="74" t="s">
        <v>1830</v>
      </c>
      <c r="D382" s="93">
        <v>22984</v>
      </c>
      <c r="E382" s="93"/>
      <c r="F382" s="249"/>
      <c r="G382" s="98">
        <f>D382</f>
        <v>22984</v>
      </c>
      <c r="H382" s="96"/>
    </row>
    <row r="383" spans="1:8" x14ac:dyDescent="0.3">
      <c r="A383" s="95" t="s">
        <v>254</v>
      </c>
      <c r="B383" s="97" t="s">
        <v>259</v>
      </c>
      <c r="C383" s="49" t="s">
        <v>260</v>
      </c>
      <c r="D383" s="93"/>
      <c r="E383" s="93">
        <v>1915.3</v>
      </c>
      <c r="F383" s="249"/>
      <c r="G383" s="98">
        <f>G382-E383</f>
        <v>21068.7</v>
      </c>
      <c r="H383" s="96"/>
    </row>
    <row r="384" spans="1:8" x14ac:dyDescent="0.3">
      <c r="A384" s="95" t="s">
        <v>392</v>
      </c>
      <c r="B384" s="97" t="s">
        <v>565</v>
      </c>
      <c r="C384" s="49" t="s">
        <v>566</v>
      </c>
      <c r="D384" s="93"/>
      <c r="E384" s="93">
        <v>1915.3</v>
      </c>
      <c r="F384" s="249"/>
      <c r="G384" s="98">
        <f t="shared" ref="G384:G392" si="14">G383-E384</f>
        <v>19153.400000000001</v>
      </c>
      <c r="H384" s="96"/>
    </row>
    <row r="385" spans="1:8" x14ac:dyDescent="0.3">
      <c r="A385" s="95" t="s">
        <v>654</v>
      </c>
      <c r="B385" s="97" t="s">
        <v>662</v>
      </c>
      <c r="C385" s="49" t="s">
        <v>661</v>
      </c>
      <c r="D385" s="93"/>
      <c r="E385" s="93">
        <v>1915.3</v>
      </c>
      <c r="F385" s="249"/>
      <c r="G385" s="98">
        <f t="shared" si="14"/>
        <v>17238.100000000002</v>
      </c>
      <c r="H385" s="96"/>
    </row>
    <row r="386" spans="1:8" x14ac:dyDescent="0.3">
      <c r="A386" s="95" t="s">
        <v>899</v>
      </c>
      <c r="B386" s="97" t="s">
        <v>900</v>
      </c>
      <c r="C386" s="49" t="s">
        <v>807</v>
      </c>
      <c r="D386" s="93"/>
      <c r="E386" s="93">
        <v>1915.3</v>
      </c>
      <c r="F386" s="249"/>
      <c r="G386" s="98">
        <f t="shared" si="14"/>
        <v>15322.800000000003</v>
      </c>
      <c r="H386" s="96"/>
    </row>
    <row r="387" spans="1:8" x14ac:dyDescent="0.3">
      <c r="A387" s="95" t="s">
        <v>1053</v>
      </c>
      <c r="B387" s="97" t="s">
        <v>1068</v>
      </c>
      <c r="C387" s="49" t="s">
        <v>1021</v>
      </c>
      <c r="D387" s="93"/>
      <c r="E387" s="93">
        <v>1915.3</v>
      </c>
      <c r="F387" s="249"/>
      <c r="G387" s="98">
        <f t="shared" si="14"/>
        <v>13407.500000000004</v>
      </c>
      <c r="H387" s="96"/>
    </row>
    <row r="388" spans="1:8" x14ac:dyDescent="0.3">
      <c r="A388" s="95" t="s">
        <v>1336</v>
      </c>
      <c r="B388" s="97" t="s">
        <v>1337</v>
      </c>
      <c r="C388" s="49" t="s">
        <v>1210</v>
      </c>
      <c r="D388" s="93"/>
      <c r="E388" s="93">
        <v>1915.3</v>
      </c>
      <c r="F388" s="249"/>
      <c r="G388" s="98">
        <f t="shared" si="14"/>
        <v>11492.200000000004</v>
      </c>
      <c r="H388" s="96"/>
    </row>
    <row r="389" spans="1:8" x14ac:dyDescent="0.3">
      <c r="A389" s="95" t="s">
        <v>1408</v>
      </c>
      <c r="B389" s="97" t="s">
        <v>1417</v>
      </c>
      <c r="C389" s="49" t="s">
        <v>1345</v>
      </c>
      <c r="D389" s="93"/>
      <c r="E389" s="93">
        <v>1915.3</v>
      </c>
      <c r="F389" s="249"/>
      <c r="G389" s="98">
        <f t="shared" si="14"/>
        <v>9576.9000000000051</v>
      </c>
      <c r="H389" s="96"/>
    </row>
    <row r="390" spans="1:8" x14ac:dyDescent="0.3">
      <c r="A390" s="95" t="s">
        <v>1541</v>
      </c>
      <c r="B390" s="97" t="s">
        <v>1572</v>
      </c>
      <c r="C390" s="49" t="s">
        <v>1516</v>
      </c>
      <c r="D390" s="93"/>
      <c r="E390" s="93">
        <v>1915.3</v>
      </c>
      <c r="F390" s="249"/>
      <c r="G390" s="98">
        <f t="shared" si="14"/>
        <v>7661.6000000000049</v>
      </c>
      <c r="H390" s="96"/>
    </row>
    <row r="391" spans="1:8" x14ac:dyDescent="0.3">
      <c r="A391" s="95" t="s">
        <v>1860</v>
      </c>
      <c r="B391" s="97" t="s">
        <v>1902</v>
      </c>
      <c r="C391" s="49" t="s">
        <v>1691</v>
      </c>
      <c r="D391" s="93"/>
      <c r="E391" s="93">
        <v>1915.3</v>
      </c>
      <c r="F391" s="249"/>
      <c r="G391" s="98">
        <f t="shared" si="14"/>
        <v>5746.3000000000047</v>
      </c>
      <c r="H391" s="96"/>
    </row>
    <row r="392" spans="1:8" x14ac:dyDescent="0.3">
      <c r="A392" s="95" t="s">
        <v>2394</v>
      </c>
      <c r="B392" s="97" t="s">
        <v>2414</v>
      </c>
      <c r="C392" s="49" t="s">
        <v>2072</v>
      </c>
      <c r="D392" s="93"/>
      <c r="E392" s="93">
        <v>1915.3</v>
      </c>
      <c r="F392" s="249"/>
      <c r="G392" s="98">
        <f t="shared" si="14"/>
        <v>3831.0000000000045</v>
      </c>
      <c r="H392" s="96"/>
    </row>
    <row r="393" spans="1:8" x14ac:dyDescent="0.3">
      <c r="A393" s="95" t="s">
        <v>2641</v>
      </c>
      <c r="B393" s="97" t="s">
        <v>2683</v>
      </c>
      <c r="C393" s="49" t="s">
        <v>2684</v>
      </c>
      <c r="D393" s="93"/>
      <c r="E393" s="93">
        <v>1915.3</v>
      </c>
      <c r="F393" s="93"/>
      <c r="G393" s="98">
        <f>G392-E393-F393</f>
        <v>1915.7000000000046</v>
      </c>
      <c r="H393" s="96"/>
    </row>
    <row r="394" spans="1:8" x14ac:dyDescent="0.3">
      <c r="A394" s="95" t="s">
        <v>2867</v>
      </c>
      <c r="B394" s="97" t="s">
        <v>2870</v>
      </c>
      <c r="C394" s="49" t="s">
        <v>2285</v>
      </c>
      <c r="D394" s="93"/>
      <c r="E394" s="93">
        <v>1915.3</v>
      </c>
      <c r="F394" s="93"/>
      <c r="G394" s="98">
        <f>G393-E394-F394</f>
        <v>0.40000000000463842</v>
      </c>
      <c r="H394" s="96"/>
    </row>
    <row r="395" spans="1:8" x14ac:dyDescent="0.3">
      <c r="A395" s="89"/>
      <c r="B395" s="97"/>
      <c r="C395" s="49" t="s">
        <v>2901</v>
      </c>
      <c r="D395" s="236">
        <v>-0.4</v>
      </c>
      <c r="E395" s="93"/>
      <c r="F395" s="249"/>
      <c r="G395" s="98">
        <f>G394+D395</f>
        <v>4.6384007745814415E-12</v>
      </c>
      <c r="H395" s="96"/>
    </row>
    <row r="396" spans="1:8" ht="18" thickBot="1" x14ac:dyDescent="0.35">
      <c r="A396" s="95"/>
      <c r="B396" s="97"/>
      <c r="C396" s="163" t="s">
        <v>774</v>
      </c>
      <c r="D396" s="99">
        <f>SUM(D285:D395)</f>
        <v>1076243.4700000002</v>
      </c>
      <c r="E396" s="99">
        <f>SUM(E285:E395)</f>
        <v>1076243.4700000004</v>
      </c>
      <c r="F396" s="99">
        <f>SUM(F285:F395)</f>
        <v>0</v>
      </c>
      <c r="G396" s="210">
        <f>D396-E396-F396</f>
        <v>-2.3283064365386963E-10</v>
      </c>
      <c r="H396" s="96"/>
    </row>
    <row r="397" spans="1:8" ht="20.25" thickTop="1" thickBot="1" x14ac:dyDescent="0.35">
      <c r="A397" s="118"/>
      <c r="B397" s="119"/>
      <c r="C397" s="120" t="s">
        <v>960</v>
      </c>
      <c r="D397" s="121">
        <f>D396+D283</f>
        <v>2457800</v>
      </c>
      <c r="E397" s="121">
        <f>E396+E283</f>
        <v>2304164.0900000008</v>
      </c>
      <c r="F397" s="121">
        <f>F396+F283</f>
        <v>153635.91</v>
      </c>
      <c r="G397" s="210">
        <f>D397-E397-F397</f>
        <v>-7.8580342233181E-10</v>
      </c>
      <c r="H397" s="122"/>
    </row>
    <row r="398" spans="1:8" ht="18" thickTop="1" x14ac:dyDescent="0.3"/>
    <row r="400" spans="1:8" x14ac:dyDescent="0.3">
      <c r="G400" s="164"/>
    </row>
  </sheetData>
  <pageMargins left="0.31" right="0.25" top="0.37" bottom="0.28000000000000003" header="0.22" footer="0.14000000000000001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6"/>
  <sheetViews>
    <sheetView workbookViewId="0">
      <selection activeCell="D17" sqref="D17"/>
    </sheetView>
  </sheetViews>
  <sheetFormatPr defaultRowHeight="17.25" x14ac:dyDescent="0.3"/>
  <cols>
    <col min="1" max="1" width="8.140625" style="23" customWidth="1"/>
    <col min="2" max="2" width="7.85546875" style="78" bestFit="1" customWidth="1"/>
    <col min="3" max="3" width="33" style="78" customWidth="1"/>
    <col min="4" max="4" width="10.7109375" style="78" customWidth="1"/>
    <col min="5" max="5" width="12" style="78" customWidth="1"/>
    <col min="6" max="6" width="7.140625" style="78" customWidth="1"/>
    <col min="7" max="7" width="11.85546875" style="78" customWidth="1"/>
    <col min="8" max="8" width="9.7109375" style="78" customWidth="1"/>
    <col min="9" max="9" width="9.85546875" style="137" bestFit="1" customWidth="1"/>
    <col min="10" max="10" width="9.140625" style="78"/>
    <col min="11" max="11" width="14" style="132" customWidth="1"/>
    <col min="12" max="12" width="11.85546875" style="78" customWidth="1"/>
    <col min="13" max="13" width="11.28515625" style="78" customWidth="1"/>
    <col min="14" max="14" width="11" style="78" customWidth="1"/>
    <col min="15" max="16384" width="9.140625" style="78"/>
  </cols>
  <sheetData>
    <row r="2" spans="1:8" x14ac:dyDescent="0.3">
      <c r="A2" s="453" t="s">
        <v>209</v>
      </c>
      <c r="B2" s="453"/>
      <c r="C2" s="453"/>
      <c r="D2" s="453"/>
      <c r="E2" s="453"/>
      <c r="F2" s="453"/>
      <c r="G2" s="453"/>
      <c r="H2" s="453"/>
    </row>
    <row r="3" spans="1:8" x14ac:dyDescent="0.3">
      <c r="A3" s="453" t="s">
        <v>2663</v>
      </c>
      <c r="B3" s="453"/>
      <c r="C3" s="453"/>
      <c r="D3" s="453"/>
      <c r="E3" s="453"/>
      <c r="F3" s="453"/>
      <c r="G3" s="453"/>
      <c r="H3" s="453"/>
    </row>
    <row r="4" spans="1:8" x14ac:dyDescent="0.3">
      <c r="A4" s="101" t="s">
        <v>127</v>
      </c>
      <c r="B4" s="77"/>
      <c r="C4" s="77"/>
      <c r="D4" s="77"/>
      <c r="E4" s="152"/>
      <c r="F4" s="77"/>
      <c r="G4" s="169" t="s">
        <v>5</v>
      </c>
      <c r="H4" s="169" t="s">
        <v>208</v>
      </c>
    </row>
    <row r="5" spans="1:8" x14ac:dyDescent="0.3">
      <c r="A5" s="178" t="s">
        <v>16</v>
      </c>
      <c r="B5" s="156" t="s">
        <v>12</v>
      </c>
      <c r="C5" s="81" t="s">
        <v>4</v>
      </c>
      <c r="D5" s="82" t="s">
        <v>15</v>
      </c>
      <c r="E5" s="82" t="s">
        <v>1</v>
      </c>
      <c r="F5" s="82" t="s">
        <v>34</v>
      </c>
      <c r="G5" s="83" t="s">
        <v>2</v>
      </c>
      <c r="H5" s="81" t="s">
        <v>3</v>
      </c>
    </row>
    <row r="6" spans="1:8" x14ac:dyDescent="0.3">
      <c r="A6" s="105"/>
      <c r="B6" s="84"/>
      <c r="C6" s="85"/>
      <c r="D6" s="86" t="s">
        <v>0</v>
      </c>
      <c r="E6" s="86"/>
      <c r="F6" s="86" t="s">
        <v>35</v>
      </c>
      <c r="G6" s="87"/>
      <c r="H6" s="158"/>
    </row>
    <row r="7" spans="1:8" x14ac:dyDescent="0.3">
      <c r="A7" s="179"/>
      <c r="B7" s="97"/>
      <c r="C7" s="76" t="s">
        <v>2418</v>
      </c>
      <c r="D7" s="93"/>
      <c r="E7" s="93"/>
      <c r="F7" s="93"/>
      <c r="G7" s="211"/>
      <c r="H7" s="403" t="s">
        <v>1044</v>
      </c>
    </row>
    <row r="8" spans="1:8" x14ac:dyDescent="0.3">
      <c r="A8" s="179"/>
      <c r="B8" s="90"/>
      <c r="C8" s="76" t="s">
        <v>2308</v>
      </c>
      <c r="D8" s="98">
        <v>50000</v>
      </c>
      <c r="E8" s="98"/>
      <c r="F8" s="98"/>
      <c r="G8" s="98">
        <v>50000</v>
      </c>
      <c r="H8" s="94"/>
    </row>
    <row r="9" spans="1:8" x14ac:dyDescent="0.3">
      <c r="A9" s="179" t="s">
        <v>2420</v>
      </c>
      <c r="B9" s="90" t="s">
        <v>2398</v>
      </c>
      <c r="C9" s="76" t="s">
        <v>2436</v>
      </c>
      <c r="D9" s="98"/>
      <c r="E9" s="98">
        <v>12090</v>
      </c>
      <c r="F9" s="98"/>
      <c r="G9" s="98">
        <f>G8-E9</f>
        <v>37910</v>
      </c>
      <c r="H9" s="94"/>
    </row>
    <row r="10" spans="1:8" ht="18.75" x14ac:dyDescent="0.3">
      <c r="A10" s="179" t="s">
        <v>2599</v>
      </c>
      <c r="B10" s="90" t="s">
        <v>2629</v>
      </c>
      <c r="C10" s="76" t="s">
        <v>675</v>
      </c>
      <c r="D10" s="98"/>
      <c r="E10" s="98">
        <v>37910</v>
      </c>
      <c r="F10" s="98"/>
      <c r="G10" s="349">
        <f>G9-E10</f>
        <v>0</v>
      </c>
      <c r="H10" s="94"/>
    </row>
    <row r="11" spans="1:8" x14ac:dyDescent="0.3">
      <c r="A11" s="179"/>
      <c r="B11" s="90"/>
      <c r="C11" s="76"/>
      <c r="D11" s="98"/>
      <c r="E11" s="98"/>
      <c r="F11" s="98"/>
      <c r="G11" s="98"/>
      <c r="H11" s="94"/>
    </row>
    <row r="12" spans="1:8" x14ac:dyDescent="0.3">
      <c r="A12" s="179"/>
      <c r="B12" s="90"/>
      <c r="C12" s="76" t="s">
        <v>2309</v>
      </c>
      <c r="D12" s="98">
        <v>50000</v>
      </c>
      <c r="E12" s="98"/>
      <c r="F12" s="98"/>
      <c r="G12" s="98">
        <v>50000</v>
      </c>
      <c r="H12" s="94"/>
    </row>
    <row r="13" spans="1:8" x14ac:dyDescent="0.3">
      <c r="A13" s="179" t="s">
        <v>2394</v>
      </c>
      <c r="B13" s="90" t="s">
        <v>2419</v>
      </c>
      <c r="C13" s="76" t="s">
        <v>577</v>
      </c>
      <c r="D13" s="93"/>
      <c r="E13" s="93">
        <v>13000</v>
      </c>
      <c r="F13" s="98"/>
      <c r="G13" s="98">
        <f>G12-E13</f>
        <v>37000</v>
      </c>
      <c r="H13" s="94"/>
    </row>
    <row r="14" spans="1:8" ht="18.75" x14ac:dyDescent="0.3">
      <c r="A14" s="179" t="s">
        <v>2599</v>
      </c>
      <c r="B14" s="90" t="s">
        <v>2630</v>
      </c>
      <c r="C14" s="76" t="s">
        <v>675</v>
      </c>
      <c r="D14" s="93"/>
      <c r="E14" s="93">
        <v>37000</v>
      </c>
      <c r="F14" s="98"/>
      <c r="G14" s="349">
        <f>G13-E14</f>
        <v>0</v>
      </c>
      <c r="H14" s="94"/>
    </row>
    <row r="15" spans="1:8" x14ac:dyDescent="0.3">
      <c r="A15" s="179"/>
      <c r="B15" s="90"/>
      <c r="C15" s="76"/>
      <c r="D15" s="98"/>
      <c r="E15" s="98"/>
      <c r="F15" s="98"/>
      <c r="G15" s="98"/>
      <c r="H15" s="94"/>
    </row>
    <row r="16" spans="1:8" x14ac:dyDescent="0.3">
      <c r="A16" s="179"/>
      <c r="B16" s="90"/>
      <c r="C16" s="76" t="s">
        <v>2310</v>
      </c>
      <c r="D16" s="98">
        <v>50000</v>
      </c>
      <c r="E16" s="98"/>
      <c r="F16" s="98"/>
      <c r="G16" s="98">
        <v>50000</v>
      </c>
      <c r="H16" s="94"/>
    </row>
    <row r="17" spans="1:12" x14ac:dyDescent="0.3">
      <c r="A17" s="179" t="s">
        <v>2403</v>
      </c>
      <c r="B17" s="90" t="s">
        <v>2443</v>
      </c>
      <c r="C17" s="76" t="s">
        <v>2444</v>
      </c>
      <c r="D17" s="98"/>
      <c r="E17" s="98">
        <v>8190</v>
      </c>
      <c r="F17" s="98"/>
      <c r="G17" s="98">
        <f>G16-E17</f>
        <v>41810</v>
      </c>
      <c r="H17" s="94"/>
    </row>
    <row r="18" spans="1:12" x14ac:dyDescent="0.3">
      <c r="A18" s="179" t="s">
        <v>2542</v>
      </c>
      <c r="B18" s="90" t="s">
        <v>2543</v>
      </c>
      <c r="C18" s="76" t="s">
        <v>577</v>
      </c>
      <c r="D18" s="98"/>
      <c r="E18" s="98">
        <v>4030</v>
      </c>
      <c r="F18" s="98"/>
      <c r="G18" s="98">
        <f>G17-E18</f>
        <v>37780</v>
      </c>
      <c r="H18" s="94"/>
    </row>
    <row r="19" spans="1:12" x14ac:dyDescent="0.3">
      <c r="A19" s="179" t="s">
        <v>2599</v>
      </c>
      <c r="B19" s="90" t="s">
        <v>2631</v>
      </c>
      <c r="C19" s="76" t="s">
        <v>675</v>
      </c>
      <c r="D19" s="98"/>
      <c r="E19" s="98">
        <v>31780</v>
      </c>
      <c r="F19" s="98"/>
      <c r="G19" s="98">
        <f>G18-E19</f>
        <v>6000</v>
      </c>
      <c r="H19" s="94"/>
    </row>
    <row r="20" spans="1:12" ht="18.75" x14ac:dyDescent="0.3">
      <c r="A20" s="179" t="s">
        <v>2689</v>
      </c>
      <c r="B20" s="90" t="s">
        <v>2713</v>
      </c>
      <c r="C20" s="76" t="s">
        <v>2352</v>
      </c>
      <c r="D20" s="98"/>
      <c r="E20" s="98">
        <v>6000</v>
      </c>
      <c r="F20" s="98"/>
      <c r="G20" s="349">
        <f>G19-E20</f>
        <v>0</v>
      </c>
      <c r="H20" s="94"/>
    </row>
    <row r="21" spans="1:12" x14ac:dyDescent="0.3">
      <c r="A21" s="179"/>
      <c r="B21" s="90"/>
      <c r="C21" s="76"/>
      <c r="D21" s="98"/>
      <c r="E21" s="98"/>
      <c r="F21" s="98"/>
      <c r="G21" s="98"/>
      <c r="H21" s="94"/>
    </row>
    <row r="22" spans="1:12" x14ac:dyDescent="0.3">
      <c r="A22" s="179"/>
      <c r="B22" s="90"/>
      <c r="C22" s="76" t="s">
        <v>2311</v>
      </c>
      <c r="D22" s="98">
        <v>50000</v>
      </c>
      <c r="E22" s="98"/>
      <c r="F22" s="98"/>
      <c r="G22" s="98">
        <v>50000</v>
      </c>
      <c r="H22" s="94"/>
    </row>
    <row r="23" spans="1:12" x14ac:dyDescent="0.3">
      <c r="A23" s="179" t="s">
        <v>2394</v>
      </c>
      <c r="B23" s="90" t="s">
        <v>2419</v>
      </c>
      <c r="C23" s="76" t="s">
        <v>577</v>
      </c>
      <c r="D23" s="93"/>
      <c r="E23" s="93">
        <v>31460</v>
      </c>
      <c r="F23" s="134"/>
      <c r="G23" s="92">
        <f>G22-E23</f>
        <v>18540</v>
      </c>
      <c r="H23" s="150"/>
      <c r="K23" s="139"/>
      <c r="L23" s="138"/>
    </row>
    <row r="24" spans="1:12" ht="18.75" x14ac:dyDescent="0.3">
      <c r="A24" s="179" t="s">
        <v>2599</v>
      </c>
      <c r="B24" s="90" t="s">
        <v>2631</v>
      </c>
      <c r="C24" s="76" t="s">
        <v>675</v>
      </c>
      <c r="D24" s="93"/>
      <c r="E24" s="93">
        <v>18540</v>
      </c>
      <c r="F24" s="91"/>
      <c r="G24" s="256">
        <f>G23-E24</f>
        <v>0</v>
      </c>
      <c r="H24" s="150"/>
      <c r="K24" s="139"/>
      <c r="L24" s="138"/>
    </row>
    <row r="25" spans="1:12" x14ac:dyDescent="0.3">
      <c r="A25" s="179"/>
      <c r="B25" s="90"/>
      <c r="C25" s="76"/>
      <c r="D25" s="93"/>
      <c r="E25" s="93"/>
      <c r="F25" s="134"/>
      <c r="G25" s="92">
        <f t="shared" ref="G25:G29" si="0">D25-E25</f>
        <v>0</v>
      </c>
      <c r="H25" s="189"/>
      <c r="K25" s="139"/>
      <c r="L25" s="138"/>
    </row>
    <row r="26" spans="1:12" x14ac:dyDescent="0.3">
      <c r="A26" s="179"/>
      <c r="B26" s="90"/>
      <c r="C26" s="76"/>
      <c r="D26" s="93"/>
      <c r="E26" s="93"/>
      <c r="F26" s="134"/>
      <c r="G26" s="92">
        <f t="shared" si="0"/>
        <v>0</v>
      </c>
      <c r="H26" s="189"/>
      <c r="K26" s="139"/>
      <c r="L26" s="138"/>
    </row>
    <row r="27" spans="1:12" x14ac:dyDescent="0.3">
      <c r="A27" s="179"/>
      <c r="B27" s="90"/>
      <c r="C27" s="76"/>
      <c r="D27" s="93"/>
      <c r="E27" s="93"/>
      <c r="F27" s="185"/>
      <c r="G27" s="92">
        <f t="shared" si="0"/>
        <v>0</v>
      </c>
      <c r="H27" s="189"/>
      <c r="K27" s="139"/>
      <c r="L27" s="138"/>
    </row>
    <row r="28" spans="1:12" x14ac:dyDescent="0.3">
      <c r="A28" s="179"/>
      <c r="B28" s="90"/>
      <c r="C28" s="76"/>
      <c r="D28" s="93"/>
      <c r="E28" s="93"/>
      <c r="F28" s="134"/>
      <c r="G28" s="92">
        <f t="shared" si="0"/>
        <v>0</v>
      </c>
      <c r="H28" s="189"/>
      <c r="K28" s="139"/>
      <c r="L28" s="138"/>
    </row>
    <row r="29" spans="1:12" x14ac:dyDescent="0.3">
      <c r="A29" s="179"/>
      <c r="B29" s="90"/>
      <c r="C29" s="76"/>
      <c r="D29" s="93"/>
      <c r="E29" s="93"/>
      <c r="F29" s="134"/>
      <c r="G29" s="92">
        <f t="shared" si="0"/>
        <v>0</v>
      </c>
      <c r="H29" s="189"/>
      <c r="K29" s="139"/>
      <c r="L29" s="138"/>
    </row>
    <row r="30" spans="1:12" x14ac:dyDescent="0.3">
      <c r="A30" s="179"/>
      <c r="B30" s="97"/>
      <c r="C30" s="188"/>
      <c r="D30" s="98"/>
      <c r="E30" s="177"/>
      <c r="F30" s="134"/>
      <c r="G30" s="135"/>
      <c r="H30" s="75"/>
      <c r="K30" s="139"/>
      <c r="L30" s="138"/>
    </row>
    <row r="31" spans="1:12" x14ac:dyDescent="0.3">
      <c r="A31" s="179"/>
      <c r="B31" s="97"/>
      <c r="C31" s="188"/>
      <c r="D31" s="98"/>
      <c r="E31" s="177"/>
      <c r="F31" s="134"/>
      <c r="G31" s="135"/>
      <c r="H31" s="250"/>
      <c r="K31" s="139"/>
      <c r="L31" s="138"/>
    </row>
    <row r="32" spans="1:12" x14ac:dyDescent="0.3">
      <c r="A32" s="179"/>
      <c r="B32" s="97"/>
      <c r="C32" s="187"/>
      <c r="D32" s="134"/>
      <c r="E32" s="91"/>
      <c r="F32" s="91"/>
      <c r="G32" s="135"/>
      <c r="H32" s="150"/>
      <c r="K32" s="139"/>
      <c r="L32" s="138"/>
    </row>
    <row r="33" spans="1:15" ht="18" thickBot="1" x14ac:dyDescent="0.35">
      <c r="A33" s="108"/>
      <c r="B33" s="143"/>
      <c r="C33" s="131" t="s">
        <v>107</v>
      </c>
      <c r="D33" s="170">
        <f>SUM(D7:D32)</f>
        <v>200000</v>
      </c>
      <c r="E33" s="170">
        <f>SUM(E7:E32)</f>
        <v>200000</v>
      </c>
      <c r="F33" s="170">
        <f>SUM(F7:F32)</f>
        <v>0</v>
      </c>
      <c r="G33" s="161">
        <f>D33-E33-F33</f>
        <v>0</v>
      </c>
      <c r="H33" s="94"/>
      <c r="K33" s="139"/>
      <c r="L33" s="138"/>
    </row>
    <row r="34" spans="1:15" ht="18" thickTop="1" x14ac:dyDescent="0.3">
      <c r="D34" s="137"/>
      <c r="F34" s="176"/>
      <c r="G34" s="199"/>
      <c r="J34" s="155"/>
      <c r="K34" s="139"/>
      <c r="L34" s="138"/>
    </row>
    <row r="35" spans="1:15" x14ac:dyDescent="0.3">
      <c r="D35" s="137"/>
      <c r="E35" s="132"/>
      <c r="F35" s="164"/>
      <c r="G35" s="132"/>
      <c r="J35" s="155"/>
    </row>
    <row r="36" spans="1:15" x14ac:dyDescent="0.3">
      <c r="D36" s="137"/>
      <c r="E36" s="132"/>
      <c r="G36" s="132"/>
      <c r="J36" s="132"/>
      <c r="M36" s="132"/>
    </row>
    <row r="37" spans="1:15" x14ac:dyDescent="0.3">
      <c r="C37" s="164"/>
      <c r="E37" s="132"/>
      <c r="G37" s="164"/>
      <c r="M37" s="132"/>
    </row>
    <row r="38" spans="1:15" x14ac:dyDescent="0.3">
      <c r="C38" s="164"/>
      <c r="E38" s="164"/>
      <c r="G38" s="164"/>
      <c r="M38" s="164"/>
      <c r="O38" s="164"/>
    </row>
    <row r="39" spans="1:15" x14ac:dyDescent="0.3">
      <c r="E39" s="139"/>
      <c r="F39" s="132"/>
      <c r="G39" s="164"/>
      <c r="M39" s="132"/>
      <c r="N39" s="132"/>
      <c r="O39" s="164"/>
    </row>
    <row r="40" spans="1:15" x14ac:dyDescent="0.3">
      <c r="B40" s="138"/>
      <c r="C40" s="146"/>
      <c r="D40" s="171"/>
      <c r="E40" s="172"/>
      <c r="G40" s="173"/>
      <c r="O40" s="173"/>
    </row>
    <row r="41" spans="1:15" x14ac:dyDescent="0.3">
      <c r="B41" s="138"/>
      <c r="C41" s="138"/>
      <c r="D41" s="140"/>
      <c r="E41" s="139"/>
    </row>
    <row r="42" spans="1:15" x14ac:dyDescent="0.3">
      <c r="B42" s="138"/>
      <c r="C42" s="138"/>
      <c r="D42" s="140"/>
      <c r="E42" s="139"/>
      <c r="G42" s="132"/>
      <c r="O42" s="132"/>
    </row>
    <row r="43" spans="1:15" x14ac:dyDescent="0.3">
      <c r="B43" s="138"/>
      <c r="C43" s="138"/>
      <c r="D43" s="140"/>
      <c r="E43" s="139"/>
      <c r="G43" s="132"/>
    </row>
    <row r="44" spans="1:15" x14ac:dyDescent="0.3">
      <c r="B44" s="138"/>
      <c r="C44" s="138"/>
      <c r="D44" s="174"/>
      <c r="E44" s="146"/>
    </row>
    <row r="45" spans="1:15" x14ac:dyDescent="0.3">
      <c r="B45" s="138"/>
      <c r="C45" s="138"/>
      <c r="D45" s="138"/>
      <c r="E45" s="139"/>
    </row>
    <row r="46" spans="1:15" x14ac:dyDescent="0.3">
      <c r="B46" s="138"/>
      <c r="C46" s="138"/>
      <c r="D46" s="138"/>
      <c r="E46" s="146"/>
    </row>
  </sheetData>
  <mergeCells count="2">
    <mergeCell ref="A2:H2"/>
    <mergeCell ref="A3:H3"/>
  </mergeCells>
  <pageMargins left="0.27" right="0.15" top="0.15748031496062992" bottom="0.15748031496062992" header="0.15748031496062992" footer="0.15748031496062992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6"/>
  <sheetViews>
    <sheetView workbookViewId="0">
      <selection activeCell="D10" sqref="D10"/>
    </sheetView>
  </sheetViews>
  <sheetFormatPr defaultRowHeight="17.25" x14ac:dyDescent="0.3"/>
  <cols>
    <col min="1" max="1" width="8.140625" style="23" customWidth="1"/>
    <col min="2" max="2" width="7.85546875" style="78" bestFit="1" customWidth="1"/>
    <col min="3" max="3" width="33" style="78" customWidth="1"/>
    <col min="4" max="4" width="10.7109375" style="78" customWidth="1"/>
    <col min="5" max="5" width="12" style="78" customWidth="1"/>
    <col min="6" max="6" width="7.140625" style="78" customWidth="1"/>
    <col min="7" max="7" width="11.85546875" style="78" customWidth="1"/>
    <col min="8" max="8" width="9.7109375" style="78" customWidth="1"/>
    <col min="9" max="9" width="9.85546875" style="137" bestFit="1" customWidth="1"/>
    <col min="10" max="10" width="9.140625" style="78"/>
    <col min="11" max="11" width="14" style="132" customWidth="1"/>
    <col min="12" max="12" width="11.85546875" style="78" customWidth="1"/>
    <col min="13" max="13" width="11.28515625" style="78" customWidth="1"/>
    <col min="14" max="14" width="11" style="78" customWidth="1"/>
    <col min="15" max="16384" width="9.140625" style="78"/>
  </cols>
  <sheetData>
    <row r="2" spans="1:12" x14ac:dyDescent="0.3">
      <c r="A2" s="453" t="s">
        <v>209</v>
      </c>
      <c r="B2" s="453"/>
      <c r="C2" s="453"/>
      <c r="D2" s="453"/>
      <c r="E2" s="453"/>
      <c r="F2" s="453"/>
      <c r="G2" s="453"/>
      <c r="H2" s="453"/>
    </row>
    <row r="3" spans="1:12" x14ac:dyDescent="0.3">
      <c r="A3" s="453" t="s">
        <v>2663</v>
      </c>
      <c r="B3" s="453"/>
      <c r="C3" s="453"/>
      <c r="D3" s="453"/>
      <c r="E3" s="453"/>
      <c r="F3" s="453"/>
      <c r="G3" s="453"/>
      <c r="H3" s="453"/>
    </row>
    <row r="4" spans="1:12" x14ac:dyDescent="0.3">
      <c r="A4" s="101" t="s">
        <v>127</v>
      </c>
      <c r="B4" s="77"/>
      <c r="C4" s="77"/>
      <c r="D4" s="77"/>
      <c r="E4" s="152"/>
      <c r="F4" s="77"/>
      <c r="G4" s="169" t="s">
        <v>5</v>
      </c>
      <c r="H4" s="169" t="s">
        <v>208</v>
      </c>
    </row>
    <row r="5" spans="1:12" x14ac:dyDescent="0.3">
      <c r="A5" s="178" t="s">
        <v>16</v>
      </c>
      <c r="B5" s="156" t="s">
        <v>12</v>
      </c>
      <c r="C5" s="81" t="s">
        <v>4</v>
      </c>
      <c r="D5" s="82" t="s">
        <v>15</v>
      </c>
      <c r="E5" s="82" t="s">
        <v>1</v>
      </c>
      <c r="F5" s="82" t="s">
        <v>34</v>
      </c>
      <c r="G5" s="83" t="s">
        <v>2</v>
      </c>
      <c r="H5" s="81" t="s">
        <v>3</v>
      </c>
    </row>
    <row r="6" spans="1:12" x14ac:dyDescent="0.3">
      <c r="A6" s="105"/>
      <c r="B6" s="84"/>
      <c r="C6" s="85"/>
      <c r="D6" s="86" t="s">
        <v>0</v>
      </c>
      <c r="E6" s="86"/>
      <c r="F6" s="86" t="s">
        <v>35</v>
      </c>
      <c r="G6" s="87"/>
      <c r="H6" s="158"/>
    </row>
    <row r="7" spans="1:12" x14ac:dyDescent="0.3">
      <c r="A7" s="179" t="s">
        <v>928</v>
      </c>
      <c r="B7" s="97" t="s">
        <v>929</v>
      </c>
      <c r="C7" s="188" t="s">
        <v>930</v>
      </c>
      <c r="D7" s="93"/>
      <c r="E7" s="93"/>
      <c r="F7" s="93"/>
      <c r="G7" s="211"/>
      <c r="H7" s="250" t="s">
        <v>1044</v>
      </c>
    </row>
    <row r="8" spans="1:12" x14ac:dyDescent="0.3">
      <c r="A8" s="179" t="s">
        <v>1061</v>
      </c>
      <c r="B8" s="90" t="s">
        <v>1092</v>
      </c>
      <c r="C8" s="49" t="s">
        <v>120</v>
      </c>
      <c r="D8" s="93">
        <v>2000</v>
      </c>
      <c r="E8" s="93">
        <v>2000</v>
      </c>
      <c r="F8" s="93"/>
      <c r="G8" s="92">
        <f>D8-E8</f>
        <v>0</v>
      </c>
      <c r="H8" s="94"/>
    </row>
    <row r="9" spans="1:12" x14ac:dyDescent="0.3">
      <c r="A9" s="179" t="s">
        <v>650</v>
      </c>
      <c r="B9" s="90" t="s">
        <v>1051</v>
      </c>
      <c r="C9" s="49" t="s">
        <v>1045</v>
      </c>
      <c r="D9" s="93">
        <v>2000</v>
      </c>
      <c r="E9" s="93">
        <v>2000</v>
      </c>
      <c r="F9" s="93"/>
      <c r="G9" s="92">
        <f t="shared" ref="G9:G19" si="0">D9-E9</f>
        <v>0</v>
      </c>
      <c r="H9" s="94"/>
    </row>
    <row r="10" spans="1:12" x14ac:dyDescent="0.3">
      <c r="A10" s="179" t="s">
        <v>1061</v>
      </c>
      <c r="B10" s="90" t="s">
        <v>1091</v>
      </c>
      <c r="C10" s="49" t="s">
        <v>1046</v>
      </c>
      <c r="D10" s="93">
        <v>2000</v>
      </c>
      <c r="E10" s="93">
        <v>2000</v>
      </c>
      <c r="F10" s="93"/>
      <c r="G10" s="92">
        <f t="shared" si="0"/>
        <v>0</v>
      </c>
      <c r="H10" s="94"/>
    </row>
    <row r="11" spans="1:12" x14ac:dyDescent="0.3">
      <c r="A11" s="179" t="s">
        <v>1106</v>
      </c>
      <c r="B11" s="90" t="s">
        <v>1101</v>
      </c>
      <c r="C11" s="49" t="s">
        <v>42</v>
      </c>
      <c r="D11" s="93">
        <v>2000</v>
      </c>
      <c r="E11" s="93">
        <v>2000</v>
      </c>
      <c r="F11" s="93"/>
      <c r="G11" s="92">
        <f t="shared" si="0"/>
        <v>0</v>
      </c>
      <c r="H11" s="94"/>
    </row>
    <row r="12" spans="1:12" x14ac:dyDescent="0.3">
      <c r="A12" s="179" t="s">
        <v>650</v>
      </c>
      <c r="B12" s="90" t="s">
        <v>1051</v>
      </c>
      <c r="C12" s="49" t="s">
        <v>1047</v>
      </c>
      <c r="D12" s="93">
        <v>2000</v>
      </c>
      <c r="E12" s="93">
        <v>2000</v>
      </c>
      <c r="F12" s="93"/>
      <c r="G12" s="92">
        <f t="shared" si="0"/>
        <v>0</v>
      </c>
      <c r="H12" s="94"/>
    </row>
    <row r="13" spans="1:12" x14ac:dyDescent="0.3">
      <c r="A13" s="179" t="s">
        <v>1106</v>
      </c>
      <c r="B13" s="90" t="s">
        <v>1101</v>
      </c>
      <c r="C13" s="76" t="s">
        <v>125</v>
      </c>
      <c r="D13" s="93">
        <v>2000</v>
      </c>
      <c r="E13" s="93">
        <v>2000</v>
      </c>
      <c r="F13" s="134"/>
      <c r="G13" s="92">
        <f t="shared" si="0"/>
        <v>0</v>
      </c>
      <c r="H13" s="189"/>
      <c r="K13" s="139"/>
      <c r="L13" s="138"/>
    </row>
    <row r="14" spans="1:12" x14ac:dyDescent="0.3">
      <c r="A14" s="179" t="s">
        <v>1061</v>
      </c>
      <c r="B14" s="90" t="s">
        <v>1090</v>
      </c>
      <c r="C14" s="76" t="s">
        <v>418</v>
      </c>
      <c r="D14" s="93">
        <v>2000</v>
      </c>
      <c r="E14" s="93">
        <v>2000</v>
      </c>
      <c r="F14" s="91"/>
      <c r="G14" s="92">
        <f t="shared" si="0"/>
        <v>0</v>
      </c>
      <c r="H14" s="189"/>
      <c r="K14" s="139"/>
      <c r="L14" s="138"/>
    </row>
    <row r="15" spans="1:12" x14ac:dyDescent="0.3">
      <c r="A15" s="179"/>
      <c r="B15" s="90" t="s">
        <v>1138</v>
      </c>
      <c r="C15" s="76" t="s">
        <v>126</v>
      </c>
      <c r="D15" s="93">
        <v>2000</v>
      </c>
      <c r="E15" s="93">
        <v>2000</v>
      </c>
      <c r="F15" s="134"/>
      <c r="G15" s="92">
        <f t="shared" si="0"/>
        <v>0</v>
      </c>
      <c r="H15" s="189"/>
      <c r="K15" s="139"/>
      <c r="L15" s="138"/>
    </row>
    <row r="16" spans="1:12" x14ac:dyDescent="0.3">
      <c r="A16" s="179" t="s">
        <v>1061</v>
      </c>
      <c r="B16" s="90" t="s">
        <v>1092</v>
      </c>
      <c r="C16" s="76" t="s">
        <v>1048</v>
      </c>
      <c r="D16" s="93">
        <v>2000</v>
      </c>
      <c r="E16" s="93">
        <v>2000</v>
      </c>
      <c r="F16" s="134"/>
      <c r="G16" s="92">
        <f t="shared" si="0"/>
        <v>0</v>
      </c>
      <c r="H16" s="189"/>
      <c r="K16" s="139"/>
      <c r="L16" s="138"/>
    </row>
    <row r="17" spans="1:15" x14ac:dyDescent="0.3">
      <c r="A17" s="179" t="s">
        <v>650</v>
      </c>
      <c r="B17" s="90" t="s">
        <v>1051</v>
      </c>
      <c r="C17" s="76" t="s">
        <v>1049</v>
      </c>
      <c r="D17" s="93">
        <v>2000</v>
      </c>
      <c r="E17" s="93">
        <v>2000</v>
      </c>
      <c r="F17" s="185"/>
      <c r="G17" s="92">
        <f t="shared" si="0"/>
        <v>0</v>
      </c>
      <c r="H17" s="189"/>
      <c r="K17" s="139"/>
      <c r="L17" s="138"/>
    </row>
    <row r="18" spans="1:15" x14ac:dyDescent="0.3">
      <c r="A18" s="179"/>
      <c r="B18" s="90" t="s">
        <v>1139</v>
      </c>
      <c r="C18" s="76" t="s">
        <v>45</v>
      </c>
      <c r="D18" s="93">
        <v>2000</v>
      </c>
      <c r="E18" s="93">
        <v>2000</v>
      </c>
      <c r="F18" s="134"/>
      <c r="G18" s="92">
        <f t="shared" si="0"/>
        <v>0</v>
      </c>
      <c r="H18" s="189"/>
      <c r="K18" s="139"/>
      <c r="L18" s="138"/>
    </row>
    <row r="19" spans="1:15" x14ac:dyDescent="0.3">
      <c r="A19" s="179" t="s">
        <v>650</v>
      </c>
      <c r="B19" s="90" t="s">
        <v>1052</v>
      </c>
      <c r="C19" s="76" t="s">
        <v>1050</v>
      </c>
      <c r="D19" s="93">
        <v>2000</v>
      </c>
      <c r="E19" s="93">
        <v>2000</v>
      </c>
      <c r="F19" s="134"/>
      <c r="G19" s="92">
        <f t="shared" si="0"/>
        <v>0</v>
      </c>
      <c r="H19" s="189"/>
      <c r="K19" s="139"/>
      <c r="L19" s="138"/>
    </row>
    <row r="20" spans="1:15" x14ac:dyDescent="0.3">
      <c r="A20" s="179"/>
      <c r="B20" s="97"/>
      <c r="C20" s="188"/>
      <c r="D20" s="98"/>
      <c r="E20" s="177"/>
      <c r="F20" s="134"/>
      <c r="G20" s="135"/>
      <c r="H20" s="75"/>
      <c r="K20" s="139"/>
      <c r="L20" s="138"/>
    </row>
    <row r="21" spans="1:15" x14ac:dyDescent="0.3">
      <c r="A21" s="179"/>
      <c r="B21" s="97"/>
      <c r="C21" s="188"/>
      <c r="D21" s="98"/>
      <c r="E21" s="177"/>
      <c r="F21" s="134"/>
      <c r="G21" s="135"/>
      <c r="H21" s="250"/>
      <c r="K21" s="139"/>
      <c r="L21" s="138"/>
    </row>
    <row r="22" spans="1:15" x14ac:dyDescent="0.3">
      <c r="A22" s="179"/>
      <c r="B22" s="97"/>
      <c r="C22" s="187"/>
      <c r="D22" s="134"/>
      <c r="E22" s="91"/>
      <c r="F22" s="91"/>
      <c r="G22" s="135"/>
      <c r="H22" s="150"/>
      <c r="K22" s="139"/>
      <c r="L22" s="138"/>
    </row>
    <row r="23" spans="1:15" ht="18" thickBot="1" x14ac:dyDescent="0.35">
      <c r="A23" s="108"/>
      <c r="B23" s="143"/>
      <c r="C23" s="131" t="s">
        <v>107</v>
      </c>
      <c r="D23" s="170">
        <f>SUM(D7:D22)</f>
        <v>24000</v>
      </c>
      <c r="E23" s="170">
        <f>SUM(E7:E22)</f>
        <v>24000</v>
      </c>
      <c r="F23" s="170">
        <f>SUM(F7:F22)</f>
        <v>0</v>
      </c>
      <c r="G23" s="161">
        <f>D23-E23-F23</f>
        <v>0</v>
      </c>
      <c r="H23" s="94"/>
      <c r="K23" s="139"/>
      <c r="L23" s="138"/>
    </row>
    <row r="24" spans="1:15" ht="18" thickTop="1" x14ac:dyDescent="0.3">
      <c r="D24" s="137"/>
      <c r="F24" s="176"/>
      <c r="G24" s="199"/>
      <c r="J24" s="155"/>
      <c r="K24" s="139"/>
      <c r="L24" s="138"/>
    </row>
    <row r="25" spans="1:15" x14ac:dyDescent="0.3">
      <c r="D25" s="137"/>
      <c r="E25" s="132"/>
      <c r="F25" s="164"/>
      <c r="G25" s="132"/>
      <c r="J25" s="155"/>
    </row>
    <row r="26" spans="1:15" x14ac:dyDescent="0.3">
      <c r="D26" s="137"/>
      <c r="E26" s="132"/>
      <c r="G26" s="132"/>
      <c r="J26" s="132"/>
      <c r="M26" s="132"/>
    </row>
    <row r="27" spans="1:15" x14ac:dyDescent="0.3">
      <c r="C27" s="164"/>
      <c r="E27" s="132"/>
      <c r="G27" s="164"/>
      <c r="M27" s="132"/>
    </row>
    <row r="28" spans="1:15" x14ac:dyDescent="0.3">
      <c r="C28" s="164"/>
      <c r="E28" s="164"/>
      <c r="G28" s="164"/>
      <c r="M28" s="164"/>
      <c r="O28" s="164"/>
    </row>
    <row r="29" spans="1:15" x14ac:dyDescent="0.3">
      <c r="E29" s="139"/>
      <c r="F29" s="132"/>
      <c r="G29" s="164"/>
      <c r="M29" s="132"/>
      <c r="N29" s="132"/>
      <c r="O29" s="164"/>
    </row>
    <row r="30" spans="1:15" x14ac:dyDescent="0.3">
      <c r="B30" s="138"/>
      <c r="C30" s="146"/>
      <c r="D30" s="171"/>
      <c r="E30" s="172"/>
      <c r="G30" s="173"/>
      <c r="O30" s="173"/>
    </row>
    <row r="31" spans="1:15" x14ac:dyDescent="0.3">
      <c r="B31" s="138"/>
      <c r="C31" s="138"/>
      <c r="D31" s="140"/>
      <c r="E31" s="139"/>
    </row>
    <row r="32" spans="1:15" x14ac:dyDescent="0.3">
      <c r="B32" s="138"/>
      <c r="C32" s="138"/>
      <c r="D32" s="140"/>
      <c r="E32" s="139"/>
      <c r="G32" s="132"/>
      <c r="O32" s="132"/>
    </row>
    <row r="33" spans="2:7" x14ac:dyDescent="0.3">
      <c r="B33" s="138"/>
      <c r="C33" s="138"/>
      <c r="D33" s="140"/>
      <c r="E33" s="139"/>
      <c r="G33" s="132"/>
    </row>
    <row r="34" spans="2:7" x14ac:dyDescent="0.3">
      <c r="B34" s="138"/>
      <c r="C34" s="138"/>
      <c r="D34" s="174"/>
      <c r="E34" s="146"/>
    </row>
    <row r="35" spans="2:7" x14ac:dyDescent="0.3">
      <c r="B35" s="138"/>
      <c r="C35" s="138"/>
      <c r="D35" s="138"/>
      <c r="E35" s="139"/>
    </row>
    <row r="36" spans="2:7" x14ac:dyDescent="0.3">
      <c r="B36" s="138"/>
      <c r="C36" s="138"/>
      <c r="D36" s="138"/>
      <c r="E36" s="146"/>
    </row>
  </sheetData>
  <mergeCells count="2">
    <mergeCell ref="A2:H2"/>
    <mergeCell ref="A3:H3"/>
  </mergeCells>
  <pageMargins left="0.27" right="0.15" top="0.15748031496062992" bottom="0.15748031496062992" header="0.15748031496062992" footer="0.15748031496062992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"/>
  <sheetViews>
    <sheetView workbookViewId="0">
      <selection activeCell="L18" sqref="L18"/>
    </sheetView>
  </sheetViews>
  <sheetFormatPr defaultRowHeight="17.25" x14ac:dyDescent="0.3"/>
  <cols>
    <col min="1" max="1" width="8.140625" style="23" customWidth="1"/>
    <col min="2" max="2" width="7.85546875" style="78" bestFit="1" customWidth="1"/>
    <col min="3" max="3" width="33" style="78" customWidth="1"/>
    <col min="4" max="4" width="10.7109375" style="78" customWidth="1"/>
    <col min="5" max="5" width="11.140625" style="78" customWidth="1"/>
    <col min="6" max="6" width="8.5703125" style="78" customWidth="1"/>
    <col min="7" max="7" width="11.85546875" style="78" customWidth="1"/>
    <col min="8" max="8" width="9.7109375" style="78" customWidth="1"/>
    <col min="9" max="9" width="11.85546875" style="78" customWidth="1"/>
    <col min="10" max="10" width="11.28515625" style="78" customWidth="1"/>
    <col min="11" max="11" width="11" style="78" customWidth="1"/>
    <col min="12" max="16384" width="9.140625" style="78"/>
  </cols>
  <sheetData>
    <row r="2" spans="1:8" x14ac:dyDescent="0.3">
      <c r="A2" s="453" t="s">
        <v>209</v>
      </c>
      <c r="B2" s="453"/>
      <c r="C2" s="453"/>
      <c r="D2" s="453"/>
      <c r="E2" s="453"/>
      <c r="F2" s="453"/>
      <c r="G2" s="453"/>
      <c r="H2" s="453"/>
    </row>
    <row r="3" spans="1:8" x14ac:dyDescent="0.3">
      <c r="A3" s="453" t="s">
        <v>2927</v>
      </c>
      <c r="B3" s="453"/>
      <c r="C3" s="453"/>
      <c r="D3" s="453"/>
      <c r="E3" s="453"/>
      <c r="F3" s="453"/>
      <c r="G3" s="453"/>
      <c r="H3" s="453"/>
    </row>
    <row r="4" spans="1:8" x14ac:dyDescent="0.3">
      <c r="A4" s="101" t="s">
        <v>127</v>
      </c>
      <c r="B4" s="77"/>
      <c r="C4" s="77"/>
      <c r="D4" s="77"/>
      <c r="E4" s="152"/>
      <c r="F4" s="77"/>
      <c r="G4" s="169" t="s">
        <v>5</v>
      </c>
      <c r="H4" s="169" t="s">
        <v>218</v>
      </c>
    </row>
    <row r="5" spans="1:8" x14ac:dyDescent="0.3">
      <c r="A5" s="178" t="s">
        <v>16</v>
      </c>
      <c r="B5" s="156" t="s">
        <v>12</v>
      </c>
      <c r="C5" s="81" t="s">
        <v>4</v>
      </c>
      <c r="D5" s="82" t="s">
        <v>15</v>
      </c>
      <c r="E5" s="82" t="s">
        <v>1</v>
      </c>
      <c r="F5" s="82" t="s">
        <v>34</v>
      </c>
      <c r="G5" s="83" t="s">
        <v>2</v>
      </c>
      <c r="H5" s="81" t="s">
        <v>3</v>
      </c>
    </row>
    <row r="6" spans="1:8" x14ac:dyDescent="0.3">
      <c r="A6" s="105"/>
      <c r="B6" s="84"/>
      <c r="C6" s="85"/>
      <c r="D6" s="86" t="s">
        <v>0</v>
      </c>
      <c r="E6" s="86"/>
      <c r="F6" s="86" t="s">
        <v>35</v>
      </c>
      <c r="G6" s="87"/>
      <c r="H6" s="158"/>
    </row>
    <row r="7" spans="1:8" x14ac:dyDescent="0.3">
      <c r="A7" s="179"/>
      <c r="B7" s="90"/>
      <c r="C7" s="49"/>
      <c r="D7" s="93"/>
      <c r="E7" s="93"/>
      <c r="F7" s="93"/>
      <c r="G7" s="92"/>
      <c r="H7" s="94"/>
    </row>
    <row r="8" spans="1:8" x14ac:dyDescent="0.3">
      <c r="A8" s="179" t="s">
        <v>210</v>
      </c>
      <c r="B8" s="90" t="s">
        <v>219</v>
      </c>
      <c r="C8" s="49" t="s">
        <v>220</v>
      </c>
      <c r="D8" s="93">
        <v>100000</v>
      </c>
      <c r="E8" s="93"/>
      <c r="F8" s="93"/>
      <c r="G8" s="92">
        <f>D8</f>
        <v>100000</v>
      </c>
      <c r="H8" s="94" t="s">
        <v>598</v>
      </c>
    </row>
    <row r="9" spans="1:8" x14ac:dyDescent="0.3">
      <c r="A9" s="179" t="s">
        <v>1061</v>
      </c>
      <c r="B9" s="90" t="s">
        <v>1093</v>
      </c>
      <c r="C9" s="49" t="s">
        <v>577</v>
      </c>
      <c r="D9" s="93"/>
      <c r="E9" s="136">
        <v>3900</v>
      </c>
      <c r="F9" s="93"/>
      <c r="G9" s="92">
        <f t="shared" ref="G9:G15" si="0">G8-E9</f>
        <v>96100</v>
      </c>
      <c r="H9" s="94"/>
    </row>
    <row r="10" spans="1:8" x14ac:dyDescent="0.3">
      <c r="A10" s="179" t="s">
        <v>1541</v>
      </c>
      <c r="B10" s="90" t="s">
        <v>1565</v>
      </c>
      <c r="C10" s="49" t="s">
        <v>1566</v>
      </c>
      <c r="D10" s="93"/>
      <c r="E10" s="136">
        <v>7800</v>
      </c>
      <c r="F10" s="93"/>
      <c r="G10" s="92">
        <f t="shared" si="0"/>
        <v>88300</v>
      </c>
      <c r="H10" s="94"/>
    </row>
    <row r="11" spans="1:8" x14ac:dyDescent="0.3">
      <c r="A11" s="179" t="s">
        <v>1606</v>
      </c>
      <c r="B11" s="90" t="s">
        <v>1611</v>
      </c>
      <c r="C11" s="49" t="s">
        <v>675</v>
      </c>
      <c r="D11" s="93"/>
      <c r="E11" s="136">
        <v>3000</v>
      </c>
      <c r="F11" s="93"/>
      <c r="G11" s="92">
        <f t="shared" si="0"/>
        <v>85300</v>
      </c>
      <c r="H11" s="94"/>
    </row>
    <row r="12" spans="1:8" x14ac:dyDescent="0.3">
      <c r="A12" s="179" t="s">
        <v>1860</v>
      </c>
      <c r="B12" s="90" t="s">
        <v>1904</v>
      </c>
      <c r="C12" s="49" t="s">
        <v>1903</v>
      </c>
      <c r="D12" s="93"/>
      <c r="E12" s="136">
        <v>1875</v>
      </c>
      <c r="F12" s="93"/>
      <c r="G12" s="92">
        <f t="shared" si="0"/>
        <v>83425</v>
      </c>
      <c r="H12" s="94"/>
    </row>
    <row r="13" spans="1:8" x14ac:dyDescent="0.3">
      <c r="A13" s="179" t="s">
        <v>1950</v>
      </c>
      <c r="B13" s="90" t="s">
        <v>1953</v>
      </c>
      <c r="C13" s="49" t="s">
        <v>577</v>
      </c>
      <c r="D13" s="93"/>
      <c r="E13" s="136">
        <v>3250</v>
      </c>
      <c r="F13" s="93"/>
      <c r="G13" s="92">
        <f t="shared" si="0"/>
        <v>80175</v>
      </c>
      <c r="H13" s="94"/>
    </row>
    <row r="14" spans="1:8" x14ac:dyDescent="0.3">
      <c r="A14" s="179" t="s">
        <v>2058</v>
      </c>
      <c r="B14" s="90" t="s">
        <v>2061</v>
      </c>
      <c r="C14" s="49" t="s">
        <v>1566</v>
      </c>
      <c r="D14" s="93"/>
      <c r="E14" s="136">
        <v>31970</v>
      </c>
      <c r="F14" s="93"/>
      <c r="G14" s="92">
        <f t="shared" si="0"/>
        <v>48205</v>
      </c>
      <c r="H14" s="94"/>
    </row>
    <row r="15" spans="1:8" x14ac:dyDescent="0.3">
      <c r="A15" s="179"/>
      <c r="B15" s="90" t="s">
        <v>2049</v>
      </c>
      <c r="C15" s="49" t="s">
        <v>837</v>
      </c>
      <c r="D15" s="93"/>
      <c r="E15" s="136">
        <v>3580</v>
      </c>
      <c r="F15" s="93"/>
      <c r="G15" s="92">
        <f t="shared" si="0"/>
        <v>44625</v>
      </c>
      <c r="H15" s="94"/>
    </row>
    <row r="16" spans="1:8" x14ac:dyDescent="0.3">
      <c r="A16" s="179" t="s">
        <v>2480</v>
      </c>
      <c r="B16" s="90" t="s">
        <v>2506</v>
      </c>
      <c r="C16" s="49" t="s">
        <v>2304</v>
      </c>
      <c r="D16" s="93"/>
      <c r="E16" s="136">
        <v>22500</v>
      </c>
      <c r="F16" s="93"/>
      <c r="G16" s="92">
        <f>G15-E16-F16</f>
        <v>22125</v>
      </c>
      <c r="H16" s="94"/>
    </row>
    <row r="17" spans="1:12" x14ac:dyDescent="0.3">
      <c r="A17" s="179" t="s">
        <v>2403</v>
      </c>
      <c r="B17" s="90" t="s">
        <v>2448</v>
      </c>
      <c r="C17" s="49" t="s">
        <v>2340</v>
      </c>
      <c r="D17" s="93"/>
      <c r="E17" s="136">
        <v>2176</v>
      </c>
      <c r="F17" s="93"/>
      <c r="G17" s="92">
        <f t="shared" ref="G17:G19" si="1">G16-E17-F17</f>
        <v>19949</v>
      </c>
      <c r="H17" s="94"/>
    </row>
    <row r="18" spans="1:12" x14ac:dyDescent="0.3">
      <c r="A18" s="179" t="s">
        <v>2403</v>
      </c>
      <c r="B18" s="90" t="s">
        <v>2446</v>
      </c>
      <c r="C18" s="49" t="s">
        <v>2341</v>
      </c>
      <c r="D18" s="93"/>
      <c r="E18" s="136">
        <v>14436</v>
      </c>
      <c r="F18" s="93"/>
      <c r="G18" s="92">
        <f t="shared" si="1"/>
        <v>5513</v>
      </c>
      <c r="H18" s="94"/>
    </row>
    <row r="19" spans="1:12" x14ac:dyDescent="0.3">
      <c r="A19" s="179"/>
      <c r="B19" s="90"/>
      <c r="C19" s="49" t="s">
        <v>2342</v>
      </c>
      <c r="D19" s="93"/>
      <c r="E19" s="136">
        <v>3125</v>
      </c>
      <c r="F19" s="93"/>
      <c r="G19" s="92">
        <f t="shared" si="1"/>
        <v>2388</v>
      </c>
      <c r="H19" s="94"/>
    </row>
    <row r="20" spans="1:12" ht="18.75" x14ac:dyDescent="0.3">
      <c r="A20" s="179"/>
      <c r="B20" s="90"/>
      <c r="C20" s="49"/>
      <c r="D20" s="93">
        <v>-2388</v>
      </c>
      <c r="E20" s="136"/>
      <c r="F20" s="93"/>
      <c r="G20" s="256">
        <f>G19+D20</f>
        <v>0</v>
      </c>
      <c r="H20" s="75"/>
      <c r="I20" s="138"/>
    </row>
    <row r="21" spans="1:12" x14ac:dyDescent="0.3">
      <c r="A21" s="179"/>
      <c r="B21" s="97"/>
      <c r="C21" s="76"/>
      <c r="D21" s="93"/>
      <c r="E21" s="136"/>
      <c r="F21" s="93"/>
      <c r="G21" s="92"/>
      <c r="H21" s="269"/>
      <c r="I21" s="138"/>
    </row>
    <row r="22" spans="1:12" x14ac:dyDescent="0.3">
      <c r="A22" s="179"/>
      <c r="B22" s="97"/>
      <c r="C22" s="76"/>
      <c r="D22" s="93"/>
      <c r="E22" s="136"/>
      <c r="F22" s="93"/>
      <c r="G22" s="92"/>
      <c r="H22" s="269"/>
      <c r="I22" s="138"/>
    </row>
    <row r="23" spans="1:12" x14ac:dyDescent="0.3">
      <c r="A23" s="179" t="s">
        <v>1128</v>
      </c>
      <c r="B23" s="97" t="s">
        <v>1142</v>
      </c>
      <c r="C23" s="188" t="s">
        <v>1143</v>
      </c>
      <c r="D23" s="98">
        <v>3700</v>
      </c>
      <c r="E23" s="308"/>
      <c r="F23" s="134"/>
      <c r="G23" s="135">
        <v>3700</v>
      </c>
      <c r="H23" s="189" t="s">
        <v>19</v>
      </c>
      <c r="I23" s="138"/>
    </row>
    <row r="24" spans="1:12" x14ac:dyDescent="0.3">
      <c r="A24" s="179" t="s">
        <v>1171</v>
      </c>
      <c r="B24" s="97" t="s">
        <v>1229</v>
      </c>
      <c r="C24" s="76" t="s">
        <v>1230</v>
      </c>
      <c r="D24" s="98"/>
      <c r="E24" s="249">
        <v>1240</v>
      </c>
      <c r="F24" s="134"/>
      <c r="G24" s="135">
        <f>G23-E24</f>
        <v>2460</v>
      </c>
      <c r="H24" s="189"/>
      <c r="I24" s="138"/>
    </row>
    <row r="25" spans="1:12" ht="18.75" x14ac:dyDescent="0.3">
      <c r="A25" s="179"/>
      <c r="B25" s="97"/>
      <c r="C25" s="76"/>
      <c r="D25" s="98">
        <v>-2460</v>
      </c>
      <c r="E25" s="177"/>
      <c r="F25" s="134"/>
      <c r="G25" s="262">
        <f>G24+D25</f>
        <v>0</v>
      </c>
      <c r="H25" s="189"/>
      <c r="I25" s="138"/>
    </row>
    <row r="26" spans="1:12" x14ac:dyDescent="0.3">
      <c r="A26" s="179"/>
      <c r="B26" s="97"/>
      <c r="C26" s="187"/>
      <c r="D26" s="134"/>
      <c r="E26" s="91"/>
      <c r="F26" s="91"/>
      <c r="G26" s="135"/>
      <c r="H26" s="150"/>
      <c r="I26" s="138"/>
    </row>
    <row r="27" spans="1:12" ht="18" thickBot="1" x14ac:dyDescent="0.35">
      <c r="A27" s="108"/>
      <c r="B27" s="143"/>
      <c r="C27" s="131" t="s">
        <v>107</v>
      </c>
      <c r="D27" s="170">
        <f>SUM(D7:D26)</f>
        <v>98852</v>
      </c>
      <c r="E27" s="170">
        <f>SUM(E7:E26)</f>
        <v>98852</v>
      </c>
      <c r="F27" s="170">
        <f>SUM(F7:F26)</f>
        <v>0</v>
      </c>
      <c r="G27" s="161">
        <f>D27-E27-F27</f>
        <v>0</v>
      </c>
      <c r="H27" s="94">
        <v>4848</v>
      </c>
      <c r="I27" s="138"/>
    </row>
    <row r="28" spans="1:12" ht="18" thickTop="1" x14ac:dyDescent="0.3">
      <c r="D28" s="137"/>
      <c r="F28" s="176"/>
      <c r="G28" s="199"/>
      <c r="I28" s="138"/>
    </row>
    <row r="29" spans="1:12" x14ac:dyDescent="0.3">
      <c r="D29" s="137"/>
      <c r="E29" s="132"/>
      <c r="F29" s="164"/>
      <c r="G29" s="132"/>
    </row>
    <row r="30" spans="1:12" x14ac:dyDescent="0.3">
      <c r="D30" s="137"/>
      <c r="E30" s="132"/>
      <c r="G30" s="132"/>
      <c r="J30" s="132"/>
    </row>
    <row r="31" spans="1:12" x14ac:dyDescent="0.3">
      <c r="C31" s="164"/>
      <c r="E31" s="132"/>
      <c r="G31" s="164"/>
      <c r="J31" s="132"/>
    </row>
    <row r="32" spans="1:12" x14ac:dyDescent="0.3">
      <c r="C32" s="164"/>
      <c r="E32" s="164"/>
      <c r="G32" s="164"/>
      <c r="J32" s="164"/>
      <c r="L32" s="164"/>
    </row>
    <row r="33" spans="2:12" x14ac:dyDescent="0.3">
      <c r="E33" s="139"/>
      <c r="F33" s="132"/>
      <c r="G33" s="164"/>
      <c r="J33" s="132"/>
      <c r="K33" s="132"/>
      <c r="L33" s="164"/>
    </row>
    <row r="34" spans="2:12" x14ac:dyDescent="0.3">
      <c r="B34" s="138"/>
      <c r="C34" s="146"/>
      <c r="D34" s="171"/>
      <c r="E34" s="172"/>
      <c r="G34" s="164"/>
      <c r="L34" s="173"/>
    </row>
    <row r="35" spans="2:12" x14ac:dyDescent="0.3">
      <c r="B35" s="138"/>
      <c r="C35" s="138"/>
      <c r="D35" s="140"/>
      <c r="E35" s="139"/>
    </row>
    <row r="36" spans="2:12" x14ac:dyDescent="0.3">
      <c r="B36" s="138"/>
      <c r="C36" s="138"/>
      <c r="D36" s="140"/>
      <c r="E36" s="139"/>
      <c r="G36" s="132"/>
      <c r="L36" s="132"/>
    </row>
    <row r="37" spans="2:12" x14ac:dyDescent="0.3">
      <c r="B37" s="138"/>
      <c r="C37" s="138"/>
      <c r="D37" s="140"/>
      <c r="E37" s="139"/>
      <c r="G37" s="132"/>
    </row>
    <row r="38" spans="2:12" x14ac:dyDescent="0.3">
      <c r="B38" s="138"/>
      <c r="C38" s="138"/>
      <c r="D38" s="174"/>
      <c r="E38" s="146"/>
    </row>
    <row r="39" spans="2:12" x14ac:dyDescent="0.3">
      <c r="B39" s="138"/>
      <c r="C39" s="138"/>
      <c r="D39" s="138"/>
      <c r="E39" s="139"/>
    </row>
    <row r="40" spans="2:12" x14ac:dyDescent="0.3">
      <c r="B40" s="138"/>
      <c r="C40" s="138"/>
      <c r="D40" s="138"/>
      <c r="E40" s="146"/>
    </row>
  </sheetData>
  <mergeCells count="2">
    <mergeCell ref="A2:H2"/>
    <mergeCell ref="A3:H3"/>
  </mergeCells>
  <pageMargins left="0.27" right="0.15" top="0.15748031496062992" bottom="0.15748031496062992" header="0.15748031496062992" footer="0.15748031496062992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7"/>
  <sheetViews>
    <sheetView workbookViewId="0">
      <selection activeCell="C11" sqref="C11"/>
    </sheetView>
  </sheetViews>
  <sheetFormatPr defaultRowHeight="17.25" x14ac:dyDescent="0.3"/>
  <cols>
    <col min="1" max="1" width="8.140625" style="23" customWidth="1"/>
    <col min="2" max="2" width="7.85546875" style="78" bestFit="1" customWidth="1"/>
    <col min="3" max="3" width="33" style="78" customWidth="1"/>
    <col min="4" max="4" width="10.7109375" style="78" customWidth="1"/>
    <col min="5" max="5" width="11.140625" style="78" customWidth="1"/>
    <col min="6" max="6" width="8.5703125" style="78" customWidth="1"/>
    <col min="7" max="7" width="11.85546875" style="78" customWidth="1"/>
    <col min="8" max="8" width="9.7109375" style="78" customWidth="1"/>
    <col min="9" max="9" width="9.85546875" style="137" bestFit="1" customWidth="1"/>
    <col min="10" max="10" width="9.140625" style="78"/>
    <col min="11" max="11" width="14" style="132" customWidth="1"/>
    <col min="12" max="12" width="11.85546875" style="78" customWidth="1"/>
    <col min="13" max="13" width="11.28515625" style="78" customWidth="1"/>
    <col min="14" max="14" width="11" style="78" customWidth="1"/>
    <col min="15" max="16384" width="9.140625" style="78"/>
  </cols>
  <sheetData>
    <row r="2" spans="1:15" x14ac:dyDescent="0.3">
      <c r="A2" s="453" t="s">
        <v>209</v>
      </c>
      <c r="B2" s="453"/>
      <c r="C2" s="453"/>
      <c r="D2" s="453"/>
      <c r="E2" s="453"/>
      <c r="F2" s="453"/>
      <c r="G2" s="453"/>
      <c r="H2" s="453"/>
    </row>
    <row r="3" spans="1:15" x14ac:dyDescent="0.3">
      <c r="A3" s="453" t="s">
        <v>2471</v>
      </c>
      <c r="B3" s="453"/>
      <c r="C3" s="453"/>
      <c r="D3" s="453"/>
      <c r="E3" s="453"/>
      <c r="F3" s="453"/>
      <c r="G3" s="453"/>
      <c r="H3" s="453"/>
    </row>
    <row r="4" spans="1:15" x14ac:dyDescent="0.3">
      <c r="A4" s="101" t="s">
        <v>127</v>
      </c>
      <c r="B4" s="77"/>
      <c r="C4" s="77"/>
      <c r="D4" s="77"/>
      <c r="E4" s="152"/>
      <c r="F4" s="77"/>
      <c r="G4" s="169" t="s">
        <v>5</v>
      </c>
      <c r="H4" s="169" t="s">
        <v>218</v>
      </c>
    </row>
    <row r="5" spans="1:15" x14ac:dyDescent="0.3">
      <c r="A5" s="178" t="s">
        <v>16</v>
      </c>
      <c r="B5" s="156" t="s">
        <v>12</v>
      </c>
      <c r="C5" s="81" t="s">
        <v>4</v>
      </c>
      <c r="D5" s="82" t="s">
        <v>15</v>
      </c>
      <c r="E5" s="82" t="s">
        <v>1</v>
      </c>
      <c r="F5" s="82" t="s">
        <v>34</v>
      </c>
      <c r="G5" s="83" t="s">
        <v>2</v>
      </c>
      <c r="H5" s="81" t="s">
        <v>3</v>
      </c>
    </row>
    <row r="6" spans="1:15" x14ac:dyDescent="0.3">
      <c r="A6" s="105"/>
      <c r="B6" s="84"/>
      <c r="C6" s="85"/>
      <c r="D6" s="86" t="s">
        <v>0</v>
      </c>
      <c r="E6" s="86"/>
      <c r="F6" s="86" t="s">
        <v>35</v>
      </c>
      <c r="G6" s="87"/>
      <c r="H6" s="158"/>
    </row>
    <row r="7" spans="1:15" x14ac:dyDescent="0.3">
      <c r="A7" s="179" t="s">
        <v>2102</v>
      </c>
      <c r="B7" s="90" t="s">
        <v>219</v>
      </c>
      <c r="C7" s="49" t="s">
        <v>2184</v>
      </c>
      <c r="D7" s="93"/>
      <c r="E7" s="93"/>
      <c r="F7" s="93"/>
      <c r="G7" s="211">
        <f>D7</f>
        <v>0</v>
      </c>
      <c r="H7" s="75" t="s">
        <v>171</v>
      </c>
    </row>
    <row r="8" spans="1:15" x14ac:dyDescent="0.3">
      <c r="A8" s="179" t="s">
        <v>2732</v>
      </c>
      <c r="B8" s="90" t="s">
        <v>2754</v>
      </c>
      <c r="C8" s="49" t="s">
        <v>54</v>
      </c>
      <c r="D8" s="93">
        <v>3800</v>
      </c>
      <c r="E8" s="93">
        <v>3800</v>
      </c>
      <c r="F8" s="93"/>
      <c r="G8" s="135">
        <f>D8-E8-F8</f>
        <v>0</v>
      </c>
      <c r="H8" s="94" t="s">
        <v>2265</v>
      </c>
    </row>
    <row r="9" spans="1:15" x14ac:dyDescent="0.3">
      <c r="A9" s="179"/>
      <c r="B9" s="90" t="s">
        <v>2533</v>
      </c>
      <c r="C9" s="49" t="s">
        <v>2194</v>
      </c>
      <c r="D9" s="93">
        <v>4500</v>
      </c>
      <c r="E9" s="93">
        <v>4500</v>
      </c>
      <c r="F9" s="93"/>
      <c r="G9" s="135">
        <f t="shared" ref="G9:G31" si="0">D9-E9-F9</f>
        <v>0</v>
      </c>
      <c r="H9" s="94"/>
    </row>
    <row r="10" spans="1:15" x14ac:dyDescent="0.3">
      <c r="A10" s="179"/>
      <c r="B10" s="90" t="s">
        <v>2603</v>
      </c>
      <c r="C10" s="49" t="s">
        <v>488</v>
      </c>
      <c r="D10" s="93">
        <v>3500</v>
      </c>
      <c r="E10" s="93">
        <v>3500</v>
      </c>
      <c r="F10" s="93"/>
      <c r="G10" s="135">
        <f t="shared" si="0"/>
        <v>0</v>
      </c>
      <c r="H10" s="94"/>
    </row>
    <row r="11" spans="1:15" x14ac:dyDescent="0.3">
      <c r="A11" s="179"/>
      <c r="B11" s="90" t="s">
        <v>2677</v>
      </c>
      <c r="C11" s="49" t="s">
        <v>51</v>
      </c>
      <c r="D11" s="93">
        <v>1300</v>
      </c>
      <c r="E11" s="93">
        <v>1300</v>
      </c>
      <c r="F11" s="93"/>
      <c r="G11" s="135">
        <f t="shared" si="0"/>
        <v>0</v>
      </c>
      <c r="H11" s="94"/>
    </row>
    <row r="12" spans="1:15" x14ac:dyDescent="0.3">
      <c r="A12" s="179"/>
      <c r="B12" s="90" t="s">
        <v>2534</v>
      </c>
      <c r="C12" s="49" t="s">
        <v>444</v>
      </c>
      <c r="D12" s="93">
        <v>4000</v>
      </c>
      <c r="E12" s="93">
        <v>4000</v>
      </c>
      <c r="F12" s="93"/>
      <c r="G12" s="135">
        <f t="shared" si="0"/>
        <v>0</v>
      </c>
      <c r="H12" s="94"/>
    </row>
    <row r="13" spans="1:15" x14ac:dyDescent="0.3">
      <c r="A13" s="179"/>
      <c r="B13" s="90" t="s">
        <v>2537</v>
      </c>
      <c r="C13" s="49" t="s">
        <v>28</v>
      </c>
      <c r="D13" s="93">
        <v>800</v>
      </c>
      <c r="E13" s="93">
        <v>800</v>
      </c>
      <c r="F13" s="93"/>
      <c r="G13" s="92">
        <f t="shared" si="0"/>
        <v>0</v>
      </c>
      <c r="H13" s="94"/>
    </row>
    <row r="14" spans="1:15" x14ac:dyDescent="0.3">
      <c r="A14" s="179"/>
      <c r="B14" s="90">
        <v>7</v>
      </c>
      <c r="C14" s="49" t="s">
        <v>479</v>
      </c>
      <c r="D14" s="93">
        <v>3600</v>
      </c>
      <c r="E14" s="93">
        <v>3600</v>
      </c>
      <c r="F14" s="93"/>
      <c r="G14" s="92">
        <f t="shared" si="0"/>
        <v>0</v>
      </c>
      <c r="H14" s="94"/>
    </row>
    <row r="15" spans="1:15" s="137" customFormat="1" x14ac:dyDescent="0.3">
      <c r="A15" s="179"/>
      <c r="B15" s="90" t="s">
        <v>2524</v>
      </c>
      <c r="C15" s="49" t="s">
        <v>64</v>
      </c>
      <c r="D15" s="93">
        <v>1800</v>
      </c>
      <c r="E15" s="93">
        <v>1800</v>
      </c>
      <c r="F15" s="93"/>
      <c r="G15" s="92">
        <f t="shared" si="0"/>
        <v>0</v>
      </c>
      <c r="H15" s="94"/>
      <c r="J15" s="78"/>
      <c r="K15" s="132"/>
      <c r="L15" s="78"/>
      <c r="M15" s="78"/>
      <c r="N15" s="78"/>
      <c r="O15" s="78"/>
    </row>
    <row r="16" spans="1:15" s="137" customFormat="1" x14ac:dyDescent="0.3">
      <c r="A16" s="179"/>
      <c r="B16" s="90" t="s">
        <v>2678</v>
      </c>
      <c r="C16" s="49" t="s">
        <v>30</v>
      </c>
      <c r="D16" s="93">
        <v>900</v>
      </c>
      <c r="E16" s="93">
        <v>900</v>
      </c>
      <c r="F16" s="93"/>
      <c r="G16" s="92">
        <f t="shared" si="0"/>
        <v>0</v>
      </c>
      <c r="H16" s="94"/>
      <c r="J16" s="78"/>
      <c r="K16" s="132"/>
      <c r="L16" s="78"/>
      <c r="M16" s="78"/>
      <c r="N16" s="78"/>
      <c r="O16" s="78"/>
    </row>
    <row r="17" spans="1:15" s="137" customFormat="1" x14ac:dyDescent="0.3">
      <c r="A17" s="179"/>
      <c r="B17" s="90">
        <v>10</v>
      </c>
      <c r="C17" s="49" t="s">
        <v>2264</v>
      </c>
      <c r="D17" s="93">
        <v>3600</v>
      </c>
      <c r="E17" s="93">
        <v>3600</v>
      </c>
      <c r="F17" s="93"/>
      <c r="G17" s="92">
        <f t="shared" si="0"/>
        <v>0</v>
      </c>
      <c r="H17" s="94"/>
      <c r="J17" s="78"/>
      <c r="K17" s="132"/>
      <c r="L17" s="78"/>
      <c r="M17" s="78"/>
      <c r="N17" s="78"/>
      <c r="O17" s="78"/>
    </row>
    <row r="18" spans="1:15" s="137" customFormat="1" x14ac:dyDescent="0.3">
      <c r="A18" s="179" t="s">
        <v>2521</v>
      </c>
      <c r="B18" s="90" t="s">
        <v>2522</v>
      </c>
      <c r="C18" s="49" t="s">
        <v>464</v>
      </c>
      <c r="D18" s="93">
        <v>3000</v>
      </c>
      <c r="E18" s="93">
        <v>3000</v>
      </c>
      <c r="F18" s="93"/>
      <c r="G18" s="92">
        <f t="shared" si="0"/>
        <v>0</v>
      </c>
      <c r="H18" s="94"/>
      <c r="J18" s="78"/>
      <c r="K18" s="132"/>
      <c r="L18" s="78"/>
      <c r="M18" s="78"/>
      <c r="N18" s="78"/>
      <c r="O18" s="78"/>
    </row>
    <row r="19" spans="1:15" s="137" customFormat="1" x14ac:dyDescent="0.3">
      <c r="A19" s="179"/>
      <c r="B19" s="90" t="s">
        <v>2615</v>
      </c>
      <c r="C19" s="49" t="s">
        <v>483</v>
      </c>
      <c r="D19" s="93">
        <v>800</v>
      </c>
      <c r="E19" s="93">
        <v>800</v>
      </c>
      <c r="F19" s="93"/>
      <c r="G19" s="92">
        <f t="shared" si="0"/>
        <v>0</v>
      </c>
      <c r="H19" s="94"/>
      <c r="J19" s="78"/>
      <c r="K19" s="132"/>
      <c r="L19" s="78"/>
      <c r="M19" s="78"/>
      <c r="N19" s="78"/>
      <c r="O19" s="78"/>
    </row>
    <row r="20" spans="1:15" s="137" customFormat="1" x14ac:dyDescent="0.3">
      <c r="A20" s="179" t="s">
        <v>2641</v>
      </c>
      <c r="B20" s="90" t="s">
        <v>2653</v>
      </c>
      <c r="C20" s="49" t="s">
        <v>432</v>
      </c>
      <c r="D20" s="93">
        <v>1500</v>
      </c>
      <c r="E20" s="93">
        <v>1500</v>
      </c>
      <c r="F20" s="93"/>
      <c r="G20" s="92">
        <f t="shared" si="0"/>
        <v>0</v>
      </c>
      <c r="H20" s="94"/>
      <c r="J20" s="78"/>
      <c r="K20" s="132"/>
      <c r="L20" s="78"/>
      <c r="M20" s="78"/>
      <c r="N20" s="78"/>
      <c r="O20" s="78"/>
    </row>
    <row r="21" spans="1:15" s="137" customFormat="1" x14ac:dyDescent="0.3">
      <c r="A21" s="179" t="s">
        <v>2318</v>
      </c>
      <c r="B21" s="90" t="s">
        <v>2324</v>
      </c>
      <c r="C21" s="49" t="s">
        <v>81</v>
      </c>
      <c r="D21" s="93">
        <v>1800</v>
      </c>
      <c r="E21" s="93">
        <v>1800</v>
      </c>
      <c r="F21" s="93"/>
      <c r="G21" s="92">
        <f t="shared" si="0"/>
        <v>0</v>
      </c>
      <c r="H21" s="94"/>
      <c r="J21" s="78"/>
      <c r="K21" s="132"/>
      <c r="L21" s="78"/>
      <c r="M21" s="78"/>
      <c r="N21" s="78"/>
      <c r="O21" s="78"/>
    </row>
    <row r="22" spans="1:15" s="137" customFormat="1" x14ac:dyDescent="0.3">
      <c r="A22" s="179"/>
      <c r="B22" s="90" t="s">
        <v>2525</v>
      </c>
      <c r="C22" s="49" t="s">
        <v>557</v>
      </c>
      <c r="D22" s="93">
        <v>3100</v>
      </c>
      <c r="E22" s="93">
        <v>3100</v>
      </c>
      <c r="F22" s="93"/>
      <c r="G22" s="92">
        <f t="shared" si="0"/>
        <v>0</v>
      </c>
      <c r="H22" s="94"/>
      <c r="J22" s="78"/>
      <c r="K22" s="132"/>
      <c r="L22" s="78"/>
      <c r="M22" s="78"/>
      <c r="N22" s="78"/>
      <c r="O22" s="78"/>
    </row>
    <row r="23" spans="1:15" x14ac:dyDescent="0.3">
      <c r="A23" s="179"/>
      <c r="B23" s="90" t="s">
        <v>2523</v>
      </c>
      <c r="C23" s="49" t="s">
        <v>60</v>
      </c>
      <c r="D23" s="93">
        <v>500</v>
      </c>
      <c r="E23" s="93">
        <v>500</v>
      </c>
      <c r="F23" s="93"/>
      <c r="G23" s="92">
        <f t="shared" si="0"/>
        <v>0</v>
      </c>
      <c r="H23" s="94"/>
    </row>
    <row r="24" spans="1:15" x14ac:dyDescent="0.3">
      <c r="A24" s="179"/>
      <c r="B24" s="90" t="s">
        <v>2537</v>
      </c>
      <c r="C24" s="49" t="s">
        <v>28</v>
      </c>
      <c r="D24" s="93">
        <v>1300</v>
      </c>
      <c r="E24" s="93">
        <v>1300</v>
      </c>
      <c r="F24" s="93"/>
      <c r="G24" s="92">
        <f t="shared" si="0"/>
        <v>0</v>
      </c>
      <c r="H24" s="94"/>
    </row>
    <row r="25" spans="1:15" x14ac:dyDescent="0.3">
      <c r="A25" s="179"/>
      <c r="B25" s="90" t="s">
        <v>2535</v>
      </c>
      <c r="C25" s="49" t="s">
        <v>486</v>
      </c>
      <c r="D25" s="93">
        <v>1500</v>
      </c>
      <c r="E25" s="93">
        <v>1500</v>
      </c>
      <c r="F25" s="93"/>
      <c r="G25" s="92">
        <f t="shared" si="0"/>
        <v>0</v>
      </c>
      <c r="H25" s="75"/>
      <c r="K25" s="139"/>
      <c r="L25" s="138"/>
    </row>
    <row r="26" spans="1:15" x14ac:dyDescent="0.3">
      <c r="A26" s="179"/>
      <c r="B26" s="90" t="s">
        <v>2536</v>
      </c>
      <c r="C26" s="188" t="s">
        <v>501</v>
      </c>
      <c r="D26" s="98">
        <v>1500</v>
      </c>
      <c r="E26" s="98">
        <v>1500</v>
      </c>
      <c r="F26" s="134"/>
      <c r="G26" s="135">
        <f t="shared" si="0"/>
        <v>0</v>
      </c>
      <c r="H26" s="189"/>
      <c r="K26" s="139"/>
      <c r="L26" s="138"/>
    </row>
    <row r="27" spans="1:15" x14ac:dyDescent="0.3">
      <c r="A27" s="179"/>
      <c r="B27" s="90">
        <v>20</v>
      </c>
      <c r="C27" s="76" t="s">
        <v>454</v>
      </c>
      <c r="D27" s="98">
        <v>1500</v>
      </c>
      <c r="E27" s="98">
        <v>1500</v>
      </c>
      <c r="F27" s="134"/>
      <c r="G27" s="135">
        <f t="shared" si="0"/>
        <v>0</v>
      </c>
      <c r="H27" s="189"/>
      <c r="K27" s="139"/>
      <c r="L27" s="138"/>
    </row>
    <row r="28" spans="1:15" x14ac:dyDescent="0.3">
      <c r="A28" s="179"/>
      <c r="B28" s="90" t="s">
        <v>2679</v>
      </c>
      <c r="C28" s="76" t="s">
        <v>460</v>
      </c>
      <c r="D28" s="98">
        <v>1500</v>
      </c>
      <c r="E28" s="98">
        <v>1500</v>
      </c>
      <c r="F28" s="134"/>
      <c r="G28" s="135">
        <f t="shared" si="0"/>
        <v>0</v>
      </c>
      <c r="H28" s="189"/>
      <c r="K28" s="139"/>
      <c r="L28" s="138"/>
    </row>
    <row r="29" spans="1:15" x14ac:dyDescent="0.3">
      <c r="A29" s="179"/>
      <c r="B29" s="90" t="s">
        <v>2603</v>
      </c>
      <c r="C29" s="76" t="s">
        <v>89</v>
      </c>
      <c r="D29" s="98">
        <v>1500</v>
      </c>
      <c r="E29" s="98">
        <v>1500</v>
      </c>
      <c r="F29" s="134"/>
      <c r="G29" s="135">
        <f t="shared" si="0"/>
        <v>0</v>
      </c>
      <c r="H29" s="189"/>
      <c r="K29" s="139"/>
      <c r="L29" s="138"/>
    </row>
    <row r="30" spans="1:15" x14ac:dyDescent="0.3">
      <c r="A30" s="179"/>
      <c r="B30" s="90" t="s">
        <v>2604</v>
      </c>
      <c r="C30" s="188" t="s">
        <v>61</v>
      </c>
      <c r="D30" s="98">
        <v>1400</v>
      </c>
      <c r="E30" s="98">
        <v>1400</v>
      </c>
      <c r="F30" s="134"/>
      <c r="G30" s="135">
        <f t="shared" si="0"/>
        <v>0</v>
      </c>
      <c r="H30" s="189"/>
      <c r="K30" s="139"/>
      <c r="L30" s="138"/>
    </row>
    <row r="31" spans="1:15" x14ac:dyDescent="0.3">
      <c r="A31" s="179" t="s">
        <v>2622</v>
      </c>
      <c r="B31" s="90" t="s">
        <v>2633</v>
      </c>
      <c r="C31" s="188" t="s">
        <v>47</v>
      </c>
      <c r="D31" s="98">
        <v>1300</v>
      </c>
      <c r="E31" s="98">
        <v>1300</v>
      </c>
      <c r="F31" s="134"/>
      <c r="G31" s="135">
        <f t="shared" si="0"/>
        <v>0</v>
      </c>
      <c r="H31" s="189"/>
      <c r="K31" s="139"/>
      <c r="L31" s="138"/>
    </row>
    <row r="32" spans="1:15" x14ac:dyDescent="0.3">
      <c r="A32" s="179"/>
      <c r="B32" s="97"/>
      <c r="C32" s="188"/>
      <c r="D32" s="98"/>
      <c r="E32" s="177"/>
      <c r="F32" s="134"/>
      <c r="G32" s="135"/>
      <c r="H32" s="189"/>
      <c r="K32" s="139"/>
      <c r="L32" s="138"/>
    </row>
    <row r="33" spans="1:15" x14ac:dyDescent="0.3">
      <c r="A33" s="179"/>
      <c r="B33" s="97"/>
      <c r="C33" s="187"/>
      <c r="D33" s="134"/>
      <c r="E33" s="91"/>
      <c r="F33" s="91"/>
      <c r="G33" s="135"/>
      <c r="H33" s="150"/>
      <c r="K33" s="139"/>
      <c r="L33" s="138"/>
    </row>
    <row r="34" spans="1:15" ht="18" thickBot="1" x14ac:dyDescent="0.35">
      <c r="A34" s="108"/>
      <c r="B34" s="143"/>
      <c r="C34" s="131" t="s">
        <v>107</v>
      </c>
      <c r="D34" s="170">
        <f>SUM(D7:D33)</f>
        <v>50000</v>
      </c>
      <c r="E34" s="170">
        <f>SUM(E7:E33)</f>
        <v>50000</v>
      </c>
      <c r="F34" s="170">
        <f>SUM(F7:F33)</f>
        <v>0</v>
      </c>
      <c r="G34" s="161">
        <f>D34-E34-F34</f>
        <v>0</v>
      </c>
      <c r="H34" s="94"/>
      <c r="K34" s="139"/>
      <c r="L34" s="138"/>
    </row>
    <row r="35" spans="1:15" ht="18" thickTop="1" x14ac:dyDescent="0.3">
      <c r="D35" s="137"/>
      <c r="F35" s="176"/>
      <c r="G35" s="199"/>
      <c r="J35" s="155"/>
      <c r="K35" s="139"/>
      <c r="L35" s="138"/>
    </row>
    <row r="36" spans="1:15" x14ac:dyDescent="0.3">
      <c r="D36" s="137"/>
      <c r="E36" s="132"/>
      <c r="F36" s="164"/>
      <c r="G36" s="132"/>
      <c r="J36" s="155"/>
    </row>
    <row r="37" spans="1:15" x14ac:dyDescent="0.3">
      <c r="D37" s="137"/>
      <c r="E37" s="132"/>
      <c r="G37" s="132"/>
      <c r="J37" s="132"/>
      <c r="M37" s="132"/>
    </row>
    <row r="38" spans="1:15" x14ac:dyDescent="0.3">
      <c r="C38" s="164"/>
      <c r="E38" s="132"/>
      <c r="G38" s="164"/>
      <c r="M38" s="132"/>
    </row>
    <row r="39" spans="1:15" x14ac:dyDescent="0.3">
      <c r="C39" s="164"/>
      <c r="E39" s="164"/>
      <c r="G39" s="164"/>
      <c r="M39" s="164"/>
      <c r="O39" s="164"/>
    </row>
    <row r="40" spans="1:15" x14ac:dyDescent="0.3">
      <c r="E40" s="139"/>
      <c r="F40" s="132"/>
      <c r="G40" s="164"/>
      <c r="M40" s="132"/>
      <c r="N40" s="132"/>
      <c r="O40" s="164"/>
    </row>
    <row r="41" spans="1:15" x14ac:dyDescent="0.3">
      <c r="B41" s="138"/>
      <c r="C41" s="146"/>
      <c r="D41" s="171"/>
      <c r="E41" s="172"/>
      <c r="G41" s="173"/>
      <c r="O41" s="173"/>
    </row>
    <row r="42" spans="1:15" x14ac:dyDescent="0.3">
      <c r="B42" s="138"/>
      <c r="C42" s="138"/>
      <c r="D42" s="140"/>
      <c r="E42" s="139"/>
    </row>
    <row r="43" spans="1:15" x14ac:dyDescent="0.3">
      <c r="B43" s="138"/>
      <c r="C43" s="138"/>
      <c r="D43" s="140"/>
      <c r="E43" s="139"/>
      <c r="G43" s="132"/>
      <c r="O43" s="132"/>
    </row>
    <row r="44" spans="1:15" x14ac:dyDescent="0.3">
      <c r="B44" s="138"/>
      <c r="C44" s="138"/>
      <c r="D44" s="140"/>
      <c r="E44" s="139"/>
      <c r="G44" s="132"/>
    </row>
    <row r="45" spans="1:15" x14ac:dyDescent="0.3">
      <c r="B45" s="138"/>
      <c r="C45" s="138"/>
      <c r="D45" s="174"/>
      <c r="E45" s="146"/>
    </row>
    <row r="46" spans="1:15" x14ac:dyDescent="0.3">
      <c r="B46" s="138"/>
      <c r="C46" s="138"/>
      <c r="D46" s="138"/>
      <c r="E46" s="139"/>
    </row>
    <row r="47" spans="1:15" x14ac:dyDescent="0.3">
      <c r="B47" s="138"/>
      <c r="C47" s="138"/>
      <c r="D47" s="138"/>
      <c r="E47" s="146"/>
    </row>
  </sheetData>
  <mergeCells count="2">
    <mergeCell ref="A2:H2"/>
    <mergeCell ref="A3:H3"/>
  </mergeCells>
  <pageMargins left="0.27" right="0.15" top="0.15748031496062992" bottom="0.15748031496062992" header="0.15748031496062992" footer="0.15748031496062992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6"/>
  <sheetViews>
    <sheetView workbookViewId="0">
      <selection activeCell="E16" sqref="E16"/>
    </sheetView>
  </sheetViews>
  <sheetFormatPr defaultRowHeight="17.25" x14ac:dyDescent="0.3"/>
  <cols>
    <col min="1" max="1" width="8.140625" style="23" customWidth="1"/>
    <col min="2" max="2" width="7.85546875" style="78" bestFit="1" customWidth="1"/>
    <col min="3" max="3" width="33" style="78" customWidth="1"/>
    <col min="4" max="4" width="10.7109375" style="78" customWidth="1"/>
    <col min="5" max="5" width="11.140625" style="78" customWidth="1"/>
    <col min="6" max="6" width="8.5703125" style="78" customWidth="1"/>
    <col min="7" max="7" width="11.85546875" style="78" customWidth="1"/>
    <col min="8" max="8" width="9.7109375" style="78" customWidth="1"/>
    <col min="9" max="9" width="9.85546875" style="137" bestFit="1" customWidth="1"/>
    <col min="10" max="10" width="9.140625" style="78"/>
    <col min="11" max="11" width="14" style="132" customWidth="1"/>
    <col min="12" max="12" width="11.85546875" style="78" customWidth="1"/>
    <col min="13" max="13" width="11.28515625" style="78" customWidth="1"/>
    <col min="14" max="14" width="11" style="78" customWidth="1"/>
    <col min="15" max="16384" width="9.140625" style="78"/>
  </cols>
  <sheetData>
    <row r="2" spans="1:8" x14ac:dyDescent="0.3">
      <c r="A2" s="453" t="s">
        <v>209</v>
      </c>
      <c r="B2" s="453"/>
      <c r="C2" s="453"/>
      <c r="D2" s="453"/>
      <c r="E2" s="453"/>
      <c r="F2" s="453"/>
      <c r="G2" s="453"/>
      <c r="H2" s="453"/>
    </row>
    <row r="3" spans="1:8" x14ac:dyDescent="0.3">
      <c r="A3" s="453" t="s">
        <v>2471</v>
      </c>
      <c r="B3" s="453"/>
      <c r="C3" s="453"/>
      <c r="D3" s="453"/>
      <c r="E3" s="453"/>
      <c r="F3" s="453"/>
      <c r="G3" s="453"/>
      <c r="H3" s="453"/>
    </row>
    <row r="4" spans="1:8" x14ac:dyDescent="0.3">
      <c r="A4" s="101" t="s">
        <v>127</v>
      </c>
      <c r="B4" s="77"/>
      <c r="C4" s="77"/>
      <c r="D4" s="77"/>
      <c r="E4" s="152"/>
      <c r="F4" s="77"/>
      <c r="G4" s="169" t="s">
        <v>5</v>
      </c>
      <c r="H4" s="169" t="s">
        <v>218</v>
      </c>
    </row>
    <row r="5" spans="1:8" x14ac:dyDescent="0.3">
      <c r="A5" s="178" t="s">
        <v>16</v>
      </c>
      <c r="B5" s="156" t="s">
        <v>12</v>
      </c>
      <c r="C5" s="81" t="s">
        <v>4</v>
      </c>
      <c r="D5" s="82" t="s">
        <v>15</v>
      </c>
      <c r="E5" s="82" t="s">
        <v>1</v>
      </c>
      <c r="F5" s="82" t="s">
        <v>34</v>
      </c>
      <c r="G5" s="83" t="s">
        <v>2</v>
      </c>
      <c r="H5" s="81" t="s">
        <v>3</v>
      </c>
    </row>
    <row r="6" spans="1:8" x14ac:dyDescent="0.3">
      <c r="A6" s="105"/>
      <c r="B6" s="84"/>
      <c r="C6" s="85"/>
      <c r="D6" s="86" t="s">
        <v>0</v>
      </c>
      <c r="E6" s="86"/>
      <c r="F6" s="86" t="s">
        <v>35</v>
      </c>
      <c r="G6" s="87"/>
      <c r="H6" s="158"/>
    </row>
    <row r="7" spans="1:8" x14ac:dyDescent="0.3">
      <c r="A7" s="179" t="s">
        <v>2517</v>
      </c>
      <c r="B7" s="90"/>
      <c r="C7" s="49" t="s">
        <v>2719</v>
      </c>
      <c r="D7" s="93"/>
      <c r="E7" s="93"/>
      <c r="F7" s="93"/>
      <c r="G7" s="211">
        <f>D7</f>
        <v>0</v>
      </c>
      <c r="H7" s="75" t="s">
        <v>171</v>
      </c>
    </row>
    <row r="8" spans="1:8" x14ac:dyDescent="0.3">
      <c r="A8" s="179" t="s">
        <v>2716</v>
      </c>
      <c r="B8" s="90" t="s">
        <v>2721</v>
      </c>
      <c r="C8" s="49" t="s">
        <v>545</v>
      </c>
      <c r="D8" s="93">
        <v>5000</v>
      </c>
      <c r="E8" s="93">
        <v>5000</v>
      </c>
      <c r="F8" s="93"/>
      <c r="G8" s="135">
        <f>D8-E8-F8</f>
        <v>0</v>
      </c>
      <c r="H8" s="94" t="s">
        <v>2720</v>
      </c>
    </row>
    <row r="9" spans="1:8" x14ac:dyDescent="0.3">
      <c r="A9" s="179"/>
      <c r="B9" s="90" t="s">
        <v>2759</v>
      </c>
      <c r="C9" s="49" t="s">
        <v>76</v>
      </c>
      <c r="D9" s="93">
        <v>5000</v>
      </c>
      <c r="E9" s="93">
        <v>5000</v>
      </c>
      <c r="F9" s="93"/>
      <c r="G9" s="135">
        <f t="shared" ref="G9:G20" si="0">D9-E9-F9</f>
        <v>0</v>
      </c>
      <c r="H9" s="94"/>
    </row>
    <row r="10" spans="1:8" x14ac:dyDescent="0.3">
      <c r="A10" s="179"/>
      <c r="B10" s="90" t="s">
        <v>2757</v>
      </c>
      <c r="C10" s="49" t="s">
        <v>50</v>
      </c>
      <c r="D10" s="93">
        <v>2500</v>
      </c>
      <c r="E10" s="93">
        <v>2500</v>
      </c>
      <c r="F10" s="93"/>
      <c r="G10" s="135">
        <f t="shared" si="0"/>
        <v>0</v>
      </c>
      <c r="H10" s="94"/>
    </row>
    <row r="11" spans="1:8" x14ac:dyDescent="0.3">
      <c r="A11" s="179" t="s">
        <v>2732</v>
      </c>
      <c r="B11" s="90" t="s">
        <v>2755</v>
      </c>
      <c r="C11" s="49" t="s">
        <v>513</v>
      </c>
      <c r="D11" s="93">
        <v>2500</v>
      </c>
      <c r="E11" s="93">
        <v>2500</v>
      </c>
      <c r="F11" s="93"/>
      <c r="G11" s="135">
        <f t="shared" si="0"/>
        <v>0</v>
      </c>
      <c r="H11" s="94"/>
    </row>
    <row r="12" spans="1:8" x14ac:dyDescent="0.3">
      <c r="A12" s="179"/>
      <c r="B12" s="90" t="s">
        <v>2756</v>
      </c>
      <c r="C12" s="49" t="s">
        <v>2722</v>
      </c>
      <c r="D12" s="93">
        <v>4500</v>
      </c>
      <c r="E12" s="93">
        <v>4500</v>
      </c>
      <c r="F12" s="93"/>
      <c r="G12" s="135">
        <f t="shared" si="0"/>
        <v>0</v>
      </c>
      <c r="H12" s="94"/>
    </row>
    <row r="13" spans="1:8" x14ac:dyDescent="0.3">
      <c r="A13" s="179" t="s">
        <v>2723</v>
      </c>
      <c r="B13" s="90" t="s">
        <v>2724</v>
      </c>
      <c r="C13" s="49" t="s">
        <v>485</v>
      </c>
      <c r="D13" s="93">
        <v>4500</v>
      </c>
      <c r="E13" s="93">
        <v>4500</v>
      </c>
      <c r="F13" s="93"/>
      <c r="G13" s="135">
        <f t="shared" si="0"/>
        <v>0</v>
      </c>
      <c r="H13" s="94"/>
    </row>
    <row r="14" spans="1:8" x14ac:dyDescent="0.3">
      <c r="A14" s="179"/>
      <c r="B14" s="90" t="s">
        <v>2758</v>
      </c>
      <c r="C14" s="49" t="s">
        <v>503</v>
      </c>
      <c r="D14" s="93">
        <v>3000</v>
      </c>
      <c r="E14" s="93">
        <v>3000</v>
      </c>
      <c r="F14" s="93"/>
      <c r="G14" s="135">
        <f t="shared" si="0"/>
        <v>0</v>
      </c>
      <c r="H14" s="94"/>
    </row>
    <row r="15" spans="1:8" x14ac:dyDescent="0.3">
      <c r="A15" s="179" t="s">
        <v>2732</v>
      </c>
      <c r="B15" s="90" t="s">
        <v>2761</v>
      </c>
      <c r="C15" s="49" t="s">
        <v>496</v>
      </c>
      <c r="D15" s="93">
        <v>2500</v>
      </c>
      <c r="E15" s="93">
        <v>2500</v>
      </c>
      <c r="F15" s="93"/>
      <c r="G15" s="135">
        <f>D15-E15-F15</f>
        <v>0</v>
      </c>
      <c r="H15" s="94"/>
    </row>
    <row r="16" spans="1:8" x14ac:dyDescent="0.3">
      <c r="A16" s="179"/>
      <c r="B16" s="90" t="s">
        <v>2757</v>
      </c>
      <c r="C16" s="49" t="s">
        <v>459</v>
      </c>
      <c r="D16" s="93">
        <v>3000</v>
      </c>
      <c r="E16" s="93">
        <v>3000</v>
      </c>
      <c r="F16" s="93"/>
      <c r="G16" s="92">
        <f t="shared" si="0"/>
        <v>0</v>
      </c>
      <c r="H16" s="94"/>
    </row>
    <row r="17" spans="1:15" x14ac:dyDescent="0.3">
      <c r="A17" s="179"/>
      <c r="B17" s="90" t="s">
        <v>2760</v>
      </c>
      <c r="C17" s="49" t="s">
        <v>99</v>
      </c>
      <c r="D17" s="93">
        <v>3000</v>
      </c>
      <c r="E17" s="93">
        <v>3000</v>
      </c>
      <c r="F17" s="93"/>
      <c r="G17" s="92">
        <f t="shared" si="0"/>
        <v>0</v>
      </c>
      <c r="H17" s="94"/>
    </row>
    <row r="18" spans="1:15" s="137" customFormat="1" x14ac:dyDescent="0.3">
      <c r="A18" s="179"/>
      <c r="B18" s="90"/>
      <c r="C18" s="49"/>
      <c r="D18" s="93"/>
      <c r="E18" s="93"/>
      <c r="F18" s="93"/>
      <c r="G18" s="92"/>
      <c r="H18" s="94"/>
      <c r="J18" s="78"/>
      <c r="K18" s="132"/>
      <c r="L18" s="78"/>
      <c r="M18" s="78"/>
      <c r="N18" s="78"/>
      <c r="O18" s="78"/>
    </row>
    <row r="19" spans="1:15" s="137" customFormat="1" x14ac:dyDescent="0.3">
      <c r="A19" s="179"/>
      <c r="B19" s="90"/>
      <c r="C19" s="49"/>
      <c r="D19" s="93"/>
      <c r="E19" s="93"/>
      <c r="F19" s="93"/>
      <c r="G19" s="92">
        <f t="shared" si="0"/>
        <v>0</v>
      </c>
      <c r="H19" s="94"/>
      <c r="J19" s="78"/>
      <c r="K19" s="132"/>
      <c r="L19" s="78"/>
      <c r="M19" s="78"/>
      <c r="N19" s="78"/>
      <c r="O19" s="78"/>
    </row>
    <row r="20" spans="1:15" s="137" customFormat="1" x14ac:dyDescent="0.3">
      <c r="A20" s="179"/>
      <c r="B20" s="90"/>
      <c r="C20" s="49"/>
      <c r="D20" s="93"/>
      <c r="E20" s="93"/>
      <c r="F20" s="93"/>
      <c r="G20" s="92">
        <f t="shared" si="0"/>
        <v>0</v>
      </c>
      <c r="H20" s="94"/>
      <c r="J20" s="78"/>
      <c r="K20" s="132"/>
      <c r="L20" s="78"/>
      <c r="M20" s="78"/>
      <c r="N20" s="78"/>
      <c r="O20" s="78"/>
    </row>
    <row r="21" spans="1:15" x14ac:dyDescent="0.3">
      <c r="A21" s="179"/>
      <c r="B21" s="97"/>
      <c r="C21" s="188"/>
      <c r="D21" s="98"/>
      <c r="E21" s="177"/>
      <c r="F21" s="134"/>
      <c r="G21" s="135"/>
      <c r="H21" s="189"/>
      <c r="K21" s="139"/>
      <c r="L21" s="138"/>
    </row>
    <row r="22" spans="1:15" x14ac:dyDescent="0.3">
      <c r="A22" s="179"/>
      <c r="B22" s="97"/>
      <c r="C22" s="187"/>
      <c r="D22" s="134"/>
      <c r="E22" s="91"/>
      <c r="F22" s="91"/>
      <c r="G22" s="135"/>
      <c r="H22" s="150"/>
      <c r="K22" s="139"/>
      <c r="L22" s="138"/>
    </row>
    <row r="23" spans="1:15" ht="18" thickBot="1" x14ac:dyDescent="0.35">
      <c r="A23" s="108"/>
      <c r="B23" s="143"/>
      <c r="C23" s="131" t="s">
        <v>107</v>
      </c>
      <c r="D23" s="170">
        <f>SUM(D7:D22)</f>
        <v>35500</v>
      </c>
      <c r="E23" s="170">
        <f>SUM(E7:E22)</f>
        <v>35500</v>
      </c>
      <c r="F23" s="170">
        <f>SUM(F7:F22)</f>
        <v>0</v>
      </c>
      <c r="G23" s="161">
        <f>D23-E23-F23</f>
        <v>0</v>
      </c>
      <c r="H23" s="94"/>
      <c r="K23" s="139"/>
      <c r="L23" s="138"/>
    </row>
    <row r="24" spans="1:15" ht="18" thickTop="1" x14ac:dyDescent="0.3">
      <c r="D24" s="137"/>
      <c r="F24" s="176"/>
      <c r="G24" s="199"/>
      <c r="J24" s="155"/>
      <c r="K24" s="139"/>
      <c r="L24" s="138"/>
    </row>
    <row r="25" spans="1:15" x14ac:dyDescent="0.3">
      <c r="D25" s="137"/>
      <c r="E25" s="132"/>
      <c r="F25" s="164"/>
      <c r="G25" s="132"/>
      <c r="J25" s="155"/>
    </row>
    <row r="26" spans="1:15" x14ac:dyDescent="0.3">
      <c r="D26" s="137"/>
      <c r="E26" s="132"/>
      <c r="G26" s="132"/>
      <c r="J26" s="132"/>
      <c r="M26" s="132"/>
    </row>
    <row r="27" spans="1:15" x14ac:dyDescent="0.3">
      <c r="C27" s="164"/>
      <c r="E27" s="132"/>
      <c r="G27" s="164"/>
      <c r="M27" s="132"/>
    </row>
    <row r="28" spans="1:15" x14ac:dyDescent="0.3">
      <c r="C28" s="164"/>
      <c r="E28" s="164"/>
      <c r="G28" s="164"/>
      <c r="M28" s="164"/>
      <c r="O28" s="164"/>
    </row>
    <row r="29" spans="1:15" x14ac:dyDescent="0.3">
      <c r="E29" s="139"/>
      <c r="F29" s="132"/>
      <c r="G29" s="164"/>
      <c r="M29" s="132"/>
      <c r="N29" s="132"/>
      <c r="O29" s="164"/>
    </row>
    <row r="30" spans="1:15" x14ac:dyDescent="0.3">
      <c r="B30" s="138"/>
      <c r="C30" s="146"/>
      <c r="D30" s="171"/>
      <c r="E30" s="172"/>
      <c r="G30" s="173"/>
      <c r="O30" s="173"/>
    </row>
    <row r="31" spans="1:15" x14ac:dyDescent="0.3">
      <c r="B31" s="138"/>
      <c r="C31" s="138"/>
      <c r="D31" s="140"/>
      <c r="E31" s="139"/>
    </row>
    <row r="32" spans="1:15" x14ac:dyDescent="0.3">
      <c r="B32" s="138"/>
      <c r="C32" s="138"/>
      <c r="D32" s="140"/>
      <c r="E32" s="139"/>
      <c r="G32" s="132"/>
      <c r="O32" s="132"/>
    </row>
    <row r="33" spans="2:7" x14ac:dyDescent="0.3">
      <c r="B33" s="138"/>
      <c r="C33" s="138"/>
      <c r="D33" s="140"/>
      <c r="E33" s="139"/>
      <c r="G33" s="132"/>
    </row>
    <row r="34" spans="2:7" x14ac:dyDescent="0.3">
      <c r="B34" s="138"/>
      <c r="C34" s="138"/>
      <c r="D34" s="174"/>
      <c r="E34" s="146"/>
    </row>
    <row r="35" spans="2:7" x14ac:dyDescent="0.3">
      <c r="B35" s="138"/>
      <c r="C35" s="138"/>
      <c r="D35" s="138"/>
      <c r="E35" s="139"/>
    </row>
    <row r="36" spans="2:7" x14ac:dyDescent="0.3">
      <c r="B36" s="138"/>
      <c r="C36" s="138"/>
      <c r="D36" s="138"/>
      <c r="E36" s="146"/>
    </row>
  </sheetData>
  <mergeCells count="2">
    <mergeCell ref="A2:H2"/>
    <mergeCell ref="A3:H3"/>
  </mergeCells>
  <pageMargins left="0.27" right="0.15" top="0.15748031496062992" bottom="0.15748031496062992" header="0.15748031496062992" footer="0.15748031496062992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selection activeCell="I1" sqref="I1:I1048576"/>
    </sheetView>
  </sheetViews>
  <sheetFormatPr defaultRowHeight="17.25" x14ac:dyDescent="0.3"/>
  <cols>
    <col min="1" max="1" width="8.140625" style="23" customWidth="1"/>
    <col min="2" max="2" width="7.85546875" style="78" bestFit="1" customWidth="1"/>
    <col min="3" max="3" width="33" style="78" customWidth="1"/>
    <col min="4" max="4" width="10.7109375" style="78" customWidth="1"/>
    <col min="5" max="5" width="11.140625" style="78" customWidth="1"/>
    <col min="6" max="6" width="8.140625" style="78" customWidth="1"/>
    <col min="7" max="7" width="11.85546875" style="78" customWidth="1"/>
    <col min="8" max="8" width="9.7109375" style="78" customWidth="1"/>
    <col min="9" max="9" width="9.140625" style="78"/>
    <col min="10" max="10" width="14" style="132" customWidth="1"/>
    <col min="11" max="11" width="11.85546875" style="78" customWidth="1"/>
    <col min="12" max="12" width="11.28515625" style="78" customWidth="1"/>
    <col min="13" max="13" width="11" style="78" customWidth="1"/>
    <col min="14" max="16384" width="9.140625" style="78"/>
  </cols>
  <sheetData>
    <row r="1" spans="1:11" x14ac:dyDescent="0.3">
      <c r="A1" s="453" t="s">
        <v>209</v>
      </c>
      <c r="B1" s="453"/>
      <c r="C1" s="453"/>
      <c r="D1" s="453"/>
      <c r="E1" s="453"/>
      <c r="F1" s="453"/>
      <c r="G1" s="453"/>
      <c r="H1" s="453"/>
    </row>
    <row r="2" spans="1:11" x14ac:dyDescent="0.3">
      <c r="A2" s="453" t="s">
        <v>2667</v>
      </c>
      <c r="B2" s="453"/>
      <c r="C2" s="453"/>
      <c r="D2" s="453"/>
      <c r="E2" s="453"/>
      <c r="F2" s="453"/>
      <c r="G2" s="453"/>
      <c r="H2" s="453"/>
    </row>
    <row r="3" spans="1:11" x14ac:dyDescent="0.3">
      <c r="A3" s="101" t="s">
        <v>127</v>
      </c>
      <c r="B3" s="77"/>
      <c r="C3" s="77"/>
      <c r="D3" s="77"/>
      <c r="E3" s="152"/>
      <c r="F3" s="77"/>
      <c r="G3" s="169" t="s">
        <v>5</v>
      </c>
      <c r="H3" s="169" t="s">
        <v>218</v>
      </c>
    </row>
    <row r="4" spans="1:11" x14ac:dyDescent="0.3">
      <c r="A4" s="178" t="s">
        <v>16</v>
      </c>
      <c r="B4" s="156" t="s">
        <v>12</v>
      </c>
      <c r="C4" s="81" t="s">
        <v>4</v>
      </c>
      <c r="D4" s="82" t="s">
        <v>15</v>
      </c>
      <c r="E4" s="82" t="s">
        <v>1</v>
      </c>
      <c r="F4" s="82" t="s">
        <v>34</v>
      </c>
      <c r="G4" s="83" t="s">
        <v>2</v>
      </c>
      <c r="H4" s="81" t="s">
        <v>3</v>
      </c>
    </row>
    <row r="5" spans="1:11" x14ac:dyDescent="0.3">
      <c r="A5" s="105"/>
      <c r="B5" s="84"/>
      <c r="C5" s="85"/>
      <c r="D5" s="86" t="s">
        <v>0</v>
      </c>
      <c r="E5" s="86"/>
      <c r="F5" s="86" t="s">
        <v>35</v>
      </c>
      <c r="G5" s="87"/>
      <c r="H5" s="158"/>
    </row>
    <row r="6" spans="1:11" x14ac:dyDescent="0.3">
      <c r="A6" s="179" t="s">
        <v>764</v>
      </c>
      <c r="B6" s="90" t="s">
        <v>769</v>
      </c>
      <c r="C6" s="49" t="s">
        <v>770</v>
      </c>
      <c r="D6" s="93">
        <v>363900</v>
      </c>
      <c r="E6" s="93"/>
      <c r="F6" s="93"/>
      <c r="G6" s="211">
        <f>D6</f>
        <v>363900</v>
      </c>
      <c r="H6" s="75" t="s">
        <v>37</v>
      </c>
    </row>
    <row r="7" spans="1:11" x14ac:dyDescent="0.3">
      <c r="A7" s="179" t="s">
        <v>1061</v>
      </c>
      <c r="B7" s="90" t="s">
        <v>1094</v>
      </c>
      <c r="C7" s="49" t="s">
        <v>1095</v>
      </c>
      <c r="D7" s="93"/>
      <c r="E7" s="93">
        <v>85520</v>
      </c>
      <c r="F7" s="93"/>
      <c r="G7" s="135">
        <f>G6-E7</f>
        <v>278380</v>
      </c>
      <c r="H7" s="94"/>
    </row>
    <row r="8" spans="1:11" x14ac:dyDescent="0.3">
      <c r="A8" s="179" t="s">
        <v>1392</v>
      </c>
      <c r="B8" s="90" t="s">
        <v>1398</v>
      </c>
      <c r="C8" s="49" t="s">
        <v>1397</v>
      </c>
      <c r="D8" s="93"/>
      <c r="E8" s="93">
        <v>69575</v>
      </c>
      <c r="F8" s="93"/>
      <c r="G8" s="135">
        <f>G7-E8</f>
        <v>208805</v>
      </c>
      <c r="H8" s="94"/>
    </row>
    <row r="9" spans="1:11" x14ac:dyDescent="0.3">
      <c r="A9" s="179" t="s">
        <v>1606</v>
      </c>
      <c r="B9" s="90" t="s">
        <v>1615</v>
      </c>
      <c r="C9" s="49" t="s">
        <v>1614</v>
      </c>
      <c r="D9" s="93"/>
      <c r="E9" s="93">
        <v>18505</v>
      </c>
      <c r="F9" s="93"/>
      <c r="G9" s="135">
        <f>G8-E9</f>
        <v>190300</v>
      </c>
      <c r="H9" s="94"/>
    </row>
    <row r="10" spans="1:11" x14ac:dyDescent="0.3">
      <c r="A10" s="179" t="s">
        <v>1726</v>
      </c>
      <c r="B10" s="90" t="s">
        <v>1727</v>
      </c>
      <c r="C10" s="49" t="s">
        <v>1095</v>
      </c>
      <c r="D10" s="93"/>
      <c r="E10" s="93">
        <v>12425</v>
      </c>
      <c r="F10" s="93"/>
      <c r="G10" s="387">
        <f>G9-E10</f>
        <v>177875</v>
      </c>
      <c r="H10" s="94"/>
    </row>
    <row r="11" spans="1:11" x14ac:dyDescent="0.3">
      <c r="A11" s="179" t="s">
        <v>2540</v>
      </c>
      <c r="B11" s="90" t="s">
        <v>2550</v>
      </c>
      <c r="C11" s="49" t="s">
        <v>1095</v>
      </c>
      <c r="D11" s="93"/>
      <c r="E11" s="93">
        <v>85250</v>
      </c>
      <c r="F11" s="93"/>
      <c r="G11" s="387">
        <f>G10-E11</f>
        <v>92625</v>
      </c>
      <c r="H11" s="94"/>
    </row>
    <row r="12" spans="1:11" x14ac:dyDescent="0.3">
      <c r="A12" s="179"/>
      <c r="B12" s="90"/>
      <c r="C12" s="49"/>
      <c r="D12" s="93"/>
      <c r="E12" s="93"/>
      <c r="F12" s="93"/>
      <c r="G12" s="92"/>
      <c r="H12" s="75"/>
      <c r="J12" s="139"/>
      <c r="K12" s="138"/>
    </row>
    <row r="13" spans="1:11" ht="18.75" x14ac:dyDescent="0.3">
      <c r="A13" s="179" t="s">
        <v>864</v>
      </c>
      <c r="B13" s="97" t="s">
        <v>865</v>
      </c>
      <c r="C13" s="188" t="s">
        <v>866</v>
      </c>
      <c r="D13" s="98">
        <v>70000</v>
      </c>
      <c r="E13" s="177"/>
      <c r="F13" s="134"/>
      <c r="G13" s="262">
        <v>70000</v>
      </c>
      <c r="H13" s="189" t="s">
        <v>18</v>
      </c>
      <c r="J13" s="139"/>
      <c r="K13" s="138"/>
    </row>
    <row r="14" spans="1:11" ht="18.75" x14ac:dyDescent="0.3">
      <c r="A14" s="179" t="s">
        <v>1377</v>
      </c>
      <c r="B14" s="97" t="s">
        <v>1378</v>
      </c>
      <c r="C14" s="76" t="s">
        <v>1304</v>
      </c>
      <c r="D14" s="98"/>
      <c r="E14" s="98">
        <v>63160</v>
      </c>
      <c r="F14" s="134"/>
      <c r="G14" s="262">
        <f>G13-E14</f>
        <v>6840</v>
      </c>
      <c r="H14" s="189"/>
      <c r="J14" s="139"/>
      <c r="K14" s="138"/>
    </row>
    <row r="15" spans="1:11" ht="18.75" x14ac:dyDescent="0.3">
      <c r="A15" s="179" t="s">
        <v>1430</v>
      </c>
      <c r="B15" s="97" t="s">
        <v>1441</v>
      </c>
      <c r="C15" s="76" t="s">
        <v>577</v>
      </c>
      <c r="D15" s="98"/>
      <c r="E15" s="98">
        <v>1840</v>
      </c>
      <c r="F15" s="134"/>
      <c r="G15" s="262">
        <f>G14-E15</f>
        <v>5000</v>
      </c>
      <c r="H15" s="189"/>
      <c r="J15" s="139"/>
      <c r="K15" s="138"/>
    </row>
    <row r="16" spans="1:11" ht="18.75" x14ac:dyDescent="0.3">
      <c r="A16" s="179"/>
      <c r="B16" s="97"/>
      <c r="C16" s="76"/>
      <c r="D16" s="98">
        <v>-5000</v>
      </c>
      <c r="E16" s="177"/>
      <c r="F16" s="134"/>
      <c r="G16" s="262">
        <f>G15+D16</f>
        <v>0</v>
      </c>
      <c r="H16" s="189"/>
      <c r="J16" s="139"/>
      <c r="K16" s="138"/>
    </row>
    <row r="17" spans="1:11" ht="18.75" x14ac:dyDescent="0.3">
      <c r="A17" s="179" t="s">
        <v>1306</v>
      </c>
      <c r="B17" s="97" t="s">
        <v>1307</v>
      </c>
      <c r="C17" s="76" t="s">
        <v>1308</v>
      </c>
      <c r="D17" s="98"/>
      <c r="E17" s="177"/>
      <c r="F17" s="134"/>
      <c r="G17" s="262"/>
      <c r="H17" s="189" t="s">
        <v>291</v>
      </c>
      <c r="J17" s="139"/>
      <c r="K17" s="138"/>
    </row>
    <row r="18" spans="1:11" ht="18.75" x14ac:dyDescent="0.3">
      <c r="A18" s="179"/>
      <c r="B18" s="97"/>
      <c r="C18" s="76" t="s">
        <v>1309</v>
      </c>
      <c r="D18" s="98">
        <v>15000</v>
      </c>
      <c r="E18" s="177"/>
      <c r="F18" s="91"/>
      <c r="G18" s="262">
        <f>G17+D18</f>
        <v>15000</v>
      </c>
      <c r="H18" s="189"/>
      <c r="J18" s="139"/>
      <c r="K18" s="138"/>
    </row>
    <row r="19" spans="1:11" ht="18.75" x14ac:dyDescent="0.3">
      <c r="A19" s="179" t="s">
        <v>1587</v>
      </c>
      <c r="B19" s="97" t="s">
        <v>1588</v>
      </c>
      <c r="C19" s="76" t="s">
        <v>1589</v>
      </c>
      <c r="D19" s="98"/>
      <c r="E19" s="98">
        <v>13100</v>
      </c>
      <c r="F19" s="91"/>
      <c r="G19" s="262">
        <f>G18-E19</f>
        <v>1900</v>
      </c>
      <c r="H19" s="189"/>
      <c r="J19" s="139"/>
      <c r="K19" s="138"/>
    </row>
    <row r="20" spans="1:11" ht="18.75" x14ac:dyDescent="0.3">
      <c r="A20" s="179"/>
      <c r="B20" s="97"/>
      <c r="C20" s="76"/>
      <c r="D20" s="98">
        <v>-1900</v>
      </c>
      <c r="E20" s="98"/>
      <c r="F20" s="91"/>
      <c r="G20" s="262">
        <f>G19+D20</f>
        <v>0</v>
      </c>
      <c r="H20" s="189"/>
      <c r="J20" s="139"/>
      <c r="K20" s="138"/>
    </row>
    <row r="21" spans="1:11" ht="18.75" x14ac:dyDescent="0.3">
      <c r="A21" s="179"/>
      <c r="B21" s="97"/>
      <c r="C21" s="188"/>
      <c r="D21" s="98"/>
      <c r="E21" s="177"/>
      <c r="F21" s="134"/>
      <c r="G21" s="262"/>
      <c r="H21" s="189"/>
      <c r="J21" s="139"/>
      <c r="K21" s="138"/>
    </row>
    <row r="22" spans="1:11" ht="18.75" x14ac:dyDescent="0.3">
      <c r="A22" s="179" t="s">
        <v>1315</v>
      </c>
      <c r="B22" s="97" t="s">
        <v>1318</v>
      </c>
      <c r="C22" s="188" t="s">
        <v>1330</v>
      </c>
      <c r="D22" s="98">
        <v>3000</v>
      </c>
      <c r="E22" s="177"/>
      <c r="F22" s="134"/>
      <c r="G22" s="405">
        <v>3000</v>
      </c>
      <c r="H22" s="189" t="s">
        <v>291</v>
      </c>
      <c r="J22" s="139"/>
      <c r="K22" s="138"/>
    </row>
    <row r="23" spans="1:11" ht="18.75" x14ac:dyDescent="0.3">
      <c r="A23" s="179"/>
      <c r="B23" s="97"/>
      <c r="C23" s="188" t="s">
        <v>801</v>
      </c>
      <c r="D23" s="98"/>
      <c r="E23" s="177">
        <v>1200</v>
      </c>
      <c r="F23" s="134"/>
      <c r="G23" s="262">
        <f>G22-E23-F23</f>
        <v>1800</v>
      </c>
      <c r="H23" s="189"/>
      <c r="J23" s="139"/>
      <c r="K23" s="138"/>
    </row>
    <row r="24" spans="1:11" ht="18.75" x14ac:dyDescent="0.3">
      <c r="A24" s="179"/>
      <c r="B24" s="97"/>
      <c r="C24" s="188"/>
      <c r="D24" s="98">
        <v>-1800</v>
      </c>
      <c r="E24" s="177"/>
      <c r="F24" s="134"/>
      <c r="G24" s="262">
        <f>G23+D24</f>
        <v>0</v>
      </c>
      <c r="H24" s="189"/>
      <c r="J24" s="139"/>
      <c r="K24" s="138"/>
    </row>
    <row r="25" spans="1:11" ht="18.75" x14ac:dyDescent="0.3">
      <c r="A25" s="179"/>
      <c r="B25" s="97"/>
      <c r="C25" s="188"/>
      <c r="D25" s="98"/>
      <c r="E25" s="177"/>
      <c r="F25" s="134"/>
      <c r="G25" s="262"/>
      <c r="H25" s="189"/>
      <c r="J25" s="139"/>
      <c r="K25" s="138"/>
    </row>
    <row r="26" spans="1:11" ht="18.75" x14ac:dyDescent="0.3">
      <c r="A26" s="179" t="s">
        <v>1625</v>
      </c>
      <c r="B26" s="97" t="s">
        <v>1654</v>
      </c>
      <c r="C26" s="76" t="s">
        <v>1655</v>
      </c>
      <c r="D26" s="407">
        <v>7650</v>
      </c>
      <c r="E26" s="408"/>
      <c r="F26" s="409"/>
      <c r="G26" s="405">
        <v>7650</v>
      </c>
      <c r="H26" s="189" t="s">
        <v>584</v>
      </c>
      <c r="J26" s="139"/>
      <c r="K26" s="138"/>
    </row>
    <row r="27" spans="1:11" ht="18.75" x14ac:dyDescent="0.3">
      <c r="A27" s="179"/>
      <c r="B27" s="97"/>
      <c r="C27" s="76"/>
      <c r="D27" s="407">
        <v>-7650</v>
      </c>
      <c r="E27" s="408"/>
      <c r="F27" s="409"/>
      <c r="G27" s="405">
        <f>G26+D27</f>
        <v>0</v>
      </c>
      <c r="H27" s="189"/>
      <c r="J27" s="139"/>
      <c r="K27" s="138"/>
    </row>
    <row r="28" spans="1:11" ht="18.75" x14ac:dyDescent="0.3">
      <c r="A28" s="179"/>
      <c r="B28" s="97"/>
      <c r="C28" s="76"/>
      <c r="D28" s="407"/>
      <c r="E28" s="408"/>
      <c r="F28" s="409"/>
      <c r="G28" s="405"/>
      <c r="H28" s="189"/>
      <c r="J28" s="139"/>
      <c r="K28" s="138"/>
    </row>
    <row r="29" spans="1:11" ht="18.75" x14ac:dyDescent="0.3">
      <c r="A29" s="179" t="s">
        <v>1863</v>
      </c>
      <c r="B29" s="97" t="s">
        <v>1876</v>
      </c>
      <c r="C29" s="76" t="s">
        <v>1875</v>
      </c>
      <c r="D29" s="98">
        <v>3000</v>
      </c>
      <c r="E29" s="177"/>
      <c r="F29" s="134"/>
      <c r="G29" s="262">
        <v>3000</v>
      </c>
      <c r="H29" s="189" t="s">
        <v>24</v>
      </c>
      <c r="J29" s="139"/>
      <c r="K29" s="138"/>
    </row>
    <row r="30" spans="1:11" ht="18.75" x14ac:dyDescent="0.3">
      <c r="A30" s="179" t="s">
        <v>2116</v>
      </c>
      <c r="B30" s="97" t="s">
        <v>2263</v>
      </c>
      <c r="C30" s="76" t="s">
        <v>801</v>
      </c>
      <c r="D30" s="98"/>
      <c r="E30" s="98">
        <v>2288</v>
      </c>
      <c r="F30" s="134"/>
      <c r="G30" s="262">
        <f>G29-E30-F30</f>
        <v>712</v>
      </c>
      <c r="H30" s="189"/>
      <c r="J30" s="139"/>
      <c r="K30" s="138"/>
    </row>
    <row r="31" spans="1:11" ht="18.75" x14ac:dyDescent="0.3">
      <c r="A31" s="179"/>
      <c r="B31" s="97"/>
      <c r="C31" s="76"/>
      <c r="D31" s="98">
        <v>-712</v>
      </c>
      <c r="E31" s="177"/>
      <c r="F31" s="134"/>
      <c r="G31" s="262">
        <f>G30+D31</f>
        <v>0</v>
      </c>
      <c r="H31" s="189"/>
      <c r="J31" s="139"/>
      <c r="K31" s="138"/>
    </row>
    <row r="32" spans="1:11" ht="18.75" x14ac:dyDescent="0.3">
      <c r="A32" s="179"/>
      <c r="B32" s="97"/>
      <c r="C32" s="76"/>
      <c r="D32" s="98"/>
      <c r="E32" s="177"/>
      <c r="F32" s="134"/>
      <c r="G32" s="262"/>
      <c r="H32" s="189"/>
      <c r="J32" s="139"/>
      <c r="K32" s="138"/>
    </row>
    <row r="33" spans="1:14" ht="18.75" x14ac:dyDescent="0.3">
      <c r="A33" s="179" t="s">
        <v>1998</v>
      </c>
      <c r="B33" s="97" t="s">
        <v>1999</v>
      </c>
      <c r="C33" s="76" t="s">
        <v>2000</v>
      </c>
      <c r="D33" s="98">
        <v>35400</v>
      </c>
      <c r="E33" s="177"/>
      <c r="F33" s="134"/>
      <c r="G33" s="262">
        <v>35400</v>
      </c>
      <c r="H33" s="189" t="s">
        <v>2001</v>
      </c>
      <c r="J33" s="139"/>
      <c r="K33" s="138"/>
    </row>
    <row r="34" spans="1:14" ht="18.75" x14ac:dyDescent="0.3">
      <c r="A34" s="179" t="s">
        <v>2575</v>
      </c>
      <c r="B34" s="97"/>
      <c r="C34" s="76" t="s">
        <v>2346</v>
      </c>
      <c r="D34" s="98"/>
      <c r="E34" s="98">
        <v>7436.6</v>
      </c>
      <c r="F34" s="185"/>
      <c r="G34" s="7">
        <f>G33-E34-F34</f>
        <v>27963.4</v>
      </c>
      <c r="H34" s="189"/>
      <c r="J34" s="139"/>
      <c r="K34" s="138"/>
    </row>
    <row r="35" spans="1:14" ht="18.75" x14ac:dyDescent="0.3">
      <c r="A35" s="179" t="s">
        <v>2723</v>
      </c>
      <c r="B35" s="97" t="s">
        <v>2734</v>
      </c>
      <c r="C35" s="76" t="s">
        <v>708</v>
      </c>
      <c r="D35" s="98"/>
      <c r="E35" s="98">
        <v>15412.76</v>
      </c>
      <c r="F35" s="134"/>
      <c r="G35" s="7">
        <f>G34-E35-F35</f>
        <v>12550.640000000001</v>
      </c>
      <c r="H35" s="189"/>
      <c r="J35" s="139"/>
      <c r="K35" s="138"/>
    </row>
    <row r="36" spans="1:14" ht="18.75" x14ac:dyDescent="0.3">
      <c r="A36" s="179"/>
      <c r="B36" s="97"/>
      <c r="C36" s="76"/>
      <c r="D36" s="98">
        <v>-9803.4</v>
      </c>
      <c r="E36" s="177"/>
      <c r="F36" s="134"/>
      <c r="G36" s="428">
        <f>G35+D36</f>
        <v>2747.2400000000016</v>
      </c>
      <c r="H36" s="189"/>
      <c r="J36" s="139"/>
      <c r="K36" s="138"/>
    </row>
    <row r="37" spans="1:14" ht="18.75" x14ac:dyDescent="0.3">
      <c r="A37" s="179"/>
      <c r="B37" s="97"/>
      <c r="C37" s="76"/>
      <c r="D37" s="98"/>
      <c r="E37" s="177"/>
      <c r="F37" s="134"/>
      <c r="G37" s="262"/>
      <c r="H37" s="189"/>
      <c r="J37" s="139"/>
      <c r="K37" s="138"/>
    </row>
    <row r="38" spans="1:14" ht="18.75" x14ac:dyDescent="0.3">
      <c r="A38" s="179" t="s">
        <v>2083</v>
      </c>
      <c r="B38" s="97" t="s">
        <v>2185</v>
      </c>
      <c r="C38" s="76" t="s">
        <v>2186</v>
      </c>
      <c r="D38" s="98">
        <v>9000</v>
      </c>
      <c r="E38" s="177"/>
      <c r="F38" s="134"/>
      <c r="G38" s="262">
        <v>9000</v>
      </c>
      <c r="H38" s="189" t="s">
        <v>2187</v>
      </c>
      <c r="J38" s="139"/>
      <c r="K38" s="138"/>
    </row>
    <row r="39" spans="1:14" ht="18.75" x14ac:dyDescent="0.3">
      <c r="A39" s="179" t="s">
        <v>2137</v>
      </c>
      <c r="B39" s="97" t="s">
        <v>2195</v>
      </c>
      <c r="C39" s="76" t="s">
        <v>1891</v>
      </c>
      <c r="D39" s="98"/>
      <c r="E39" s="98">
        <v>5612</v>
      </c>
      <c r="F39" s="134"/>
      <c r="G39" s="262">
        <f>G38-E39-F39</f>
        <v>3388</v>
      </c>
      <c r="H39" s="189"/>
      <c r="J39" s="139"/>
      <c r="K39" s="138"/>
    </row>
    <row r="40" spans="1:14" ht="18.75" x14ac:dyDescent="0.3">
      <c r="A40" s="179"/>
      <c r="B40" s="97"/>
      <c r="C40" s="76" t="s">
        <v>2465</v>
      </c>
      <c r="D40" s="98"/>
      <c r="E40" s="98">
        <v>-400</v>
      </c>
      <c r="F40" s="134"/>
      <c r="G40" s="262">
        <f>G39-E40-F40</f>
        <v>3788</v>
      </c>
      <c r="H40" s="189"/>
      <c r="J40" s="139"/>
      <c r="K40" s="138"/>
    </row>
    <row r="41" spans="1:14" ht="18.75" x14ac:dyDescent="0.3">
      <c r="A41" s="179"/>
      <c r="B41" s="97"/>
      <c r="C41" s="76"/>
      <c r="D41" s="98">
        <v>-3788</v>
      </c>
      <c r="E41" s="177"/>
      <c r="F41" s="134"/>
      <c r="G41" s="262">
        <f>G40+D41</f>
        <v>0</v>
      </c>
      <c r="H41" s="189"/>
      <c r="J41" s="139"/>
      <c r="K41" s="138"/>
    </row>
    <row r="42" spans="1:14" x14ac:dyDescent="0.3">
      <c r="A42" s="179"/>
      <c r="B42" s="97"/>
      <c r="C42" s="187"/>
      <c r="D42" s="134"/>
      <c r="E42" s="91"/>
      <c r="F42" s="91"/>
      <c r="G42" s="135"/>
      <c r="H42" s="150"/>
      <c r="J42" s="139"/>
      <c r="K42" s="138"/>
    </row>
    <row r="43" spans="1:14" ht="18" thickBot="1" x14ac:dyDescent="0.35">
      <c r="A43" s="108"/>
      <c r="B43" s="143"/>
      <c r="C43" s="131" t="s">
        <v>107</v>
      </c>
      <c r="D43" s="170">
        <f>SUM(D6:D42)</f>
        <v>476296.6</v>
      </c>
      <c r="E43" s="170">
        <f>SUM(E6:E42)</f>
        <v>380924.36</v>
      </c>
      <c r="F43" s="170">
        <f>SUM(F6:F42)</f>
        <v>0</v>
      </c>
      <c r="G43" s="161">
        <f>D43-E43-F43</f>
        <v>95372.239999999991</v>
      </c>
      <c r="H43" s="149"/>
      <c r="J43" s="139"/>
      <c r="K43" s="138"/>
    </row>
    <row r="44" spans="1:14" ht="18" thickTop="1" x14ac:dyDescent="0.3">
      <c r="D44" s="137"/>
      <c r="F44" s="176"/>
      <c r="G44" s="199"/>
      <c r="I44" s="155"/>
      <c r="J44" s="139"/>
      <c r="K44" s="138"/>
    </row>
    <row r="45" spans="1:14" x14ac:dyDescent="0.3">
      <c r="D45" s="137"/>
      <c r="E45" s="132"/>
      <c r="F45" s="164"/>
      <c r="G45" s="132"/>
      <c r="I45" s="155"/>
    </row>
    <row r="46" spans="1:14" x14ac:dyDescent="0.3">
      <c r="D46" s="137"/>
      <c r="E46" s="132"/>
      <c r="G46" s="132"/>
      <c r="I46" s="132"/>
      <c r="L46" s="132"/>
    </row>
    <row r="47" spans="1:14" x14ac:dyDescent="0.3">
      <c r="C47" s="164"/>
      <c r="E47" s="132"/>
      <c r="G47" s="164"/>
      <c r="L47" s="132"/>
    </row>
    <row r="48" spans="1:14" x14ac:dyDescent="0.3">
      <c r="C48" s="164"/>
      <c r="E48" s="164"/>
      <c r="G48" s="164"/>
      <c r="L48" s="164"/>
      <c r="N48" s="164"/>
    </row>
    <row r="49" spans="2:14" x14ac:dyDescent="0.3">
      <c r="E49" s="139"/>
      <c r="F49" s="132"/>
      <c r="G49" s="164"/>
      <c r="L49" s="132"/>
      <c r="M49" s="132"/>
      <c r="N49" s="164"/>
    </row>
    <row r="50" spans="2:14" x14ac:dyDescent="0.3">
      <c r="B50" s="138"/>
      <c r="C50" s="146"/>
      <c r="D50" s="171"/>
      <c r="E50" s="172"/>
      <c r="G50" s="164"/>
      <c r="N50" s="173"/>
    </row>
    <row r="51" spans="2:14" x14ac:dyDescent="0.3">
      <c r="B51" s="138"/>
      <c r="C51" s="138"/>
      <c r="D51" s="140"/>
      <c r="E51" s="139"/>
    </row>
    <row r="52" spans="2:14" x14ac:dyDescent="0.3">
      <c r="B52" s="138"/>
      <c r="C52" s="138"/>
      <c r="D52" s="140"/>
      <c r="E52" s="139"/>
      <c r="G52" s="132"/>
      <c r="N52" s="132"/>
    </row>
    <row r="53" spans="2:14" x14ac:dyDescent="0.3">
      <c r="B53" s="138"/>
      <c r="C53" s="138"/>
      <c r="D53" s="140"/>
      <c r="E53" s="139"/>
      <c r="G53" s="132"/>
    </row>
    <row r="54" spans="2:14" x14ac:dyDescent="0.3">
      <c r="B54" s="138"/>
      <c r="C54" s="138"/>
      <c r="D54" s="174"/>
      <c r="E54" s="146"/>
    </row>
    <row r="55" spans="2:14" x14ac:dyDescent="0.3">
      <c r="B55" s="138"/>
      <c r="C55" s="138"/>
      <c r="D55" s="138"/>
      <c r="E55" s="139"/>
    </row>
    <row r="56" spans="2:14" x14ac:dyDescent="0.3">
      <c r="B56" s="138"/>
      <c r="C56" s="138"/>
      <c r="D56" s="138"/>
      <c r="E56" s="146"/>
    </row>
  </sheetData>
  <mergeCells count="2">
    <mergeCell ref="A1:H1"/>
    <mergeCell ref="A2:H2"/>
  </mergeCells>
  <pageMargins left="0.27" right="0.15" top="0.15748031496062992" bottom="0.15748031496062992" header="0.15748031496062992" footer="0.15748031496062992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9"/>
  <sheetViews>
    <sheetView workbookViewId="0">
      <selection activeCell="E8" sqref="E8"/>
    </sheetView>
  </sheetViews>
  <sheetFormatPr defaultRowHeight="17.25" x14ac:dyDescent="0.3"/>
  <cols>
    <col min="1" max="1" width="8.140625" style="23" customWidth="1"/>
    <col min="2" max="2" width="7.85546875" style="78" bestFit="1" customWidth="1"/>
    <col min="3" max="3" width="33" style="78" customWidth="1"/>
    <col min="4" max="4" width="10.7109375" style="78" customWidth="1"/>
    <col min="5" max="5" width="11.140625" style="78" customWidth="1"/>
    <col min="6" max="6" width="8.140625" style="78" customWidth="1"/>
    <col min="7" max="7" width="11.85546875" style="78" customWidth="1"/>
    <col min="8" max="8" width="8.42578125" style="78" customWidth="1"/>
    <col min="9" max="9" width="9.85546875" style="137" bestFit="1" customWidth="1"/>
    <col min="10" max="10" width="9.140625" style="78"/>
    <col min="11" max="11" width="14" style="132" customWidth="1"/>
    <col min="12" max="12" width="11.85546875" style="78" customWidth="1"/>
    <col min="13" max="13" width="11.28515625" style="78" customWidth="1"/>
    <col min="14" max="14" width="11" style="78" customWidth="1"/>
    <col min="15" max="16384" width="9.140625" style="78"/>
  </cols>
  <sheetData>
    <row r="2" spans="1:12" x14ac:dyDescent="0.3">
      <c r="A2" s="453" t="s">
        <v>209</v>
      </c>
      <c r="B2" s="453"/>
      <c r="C2" s="453"/>
      <c r="D2" s="453"/>
      <c r="E2" s="453"/>
      <c r="F2" s="453"/>
      <c r="G2" s="453"/>
      <c r="H2" s="453"/>
    </row>
    <row r="3" spans="1:12" x14ac:dyDescent="0.3">
      <c r="A3" s="453" t="s">
        <v>2664</v>
      </c>
      <c r="B3" s="453"/>
      <c r="C3" s="453"/>
      <c r="D3" s="453"/>
      <c r="E3" s="453"/>
      <c r="F3" s="453"/>
      <c r="G3" s="453"/>
      <c r="H3" s="453"/>
    </row>
    <row r="4" spans="1:12" x14ac:dyDescent="0.3">
      <c r="A4" s="101" t="s">
        <v>127</v>
      </c>
      <c r="B4" s="77"/>
      <c r="C4" s="77"/>
      <c r="D4" s="77"/>
      <c r="E4" s="152"/>
      <c r="F4" s="77"/>
      <c r="G4" s="169" t="s">
        <v>5</v>
      </c>
      <c r="H4" s="169" t="s">
        <v>218</v>
      </c>
    </row>
    <row r="5" spans="1:12" x14ac:dyDescent="0.3">
      <c r="A5" s="178" t="s">
        <v>16</v>
      </c>
      <c r="B5" s="156" t="s">
        <v>12</v>
      </c>
      <c r="C5" s="81" t="s">
        <v>4</v>
      </c>
      <c r="D5" s="82" t="s">
        <v>15</v>
      </c>
      <c r="E5" s="82" t="s">
        <v>1</v>
      </c>
      <c r="F5" s="82" t="s">
        <v>34</v>
      </c>
      <c r="G5" s="83" t="s">
        <v>2</v>
      </c>
      <c r="H5" s="81" t="s">
        <v>3</v>
      </c>
    </row>
    <row r="6" spans="1:12" x14ac:dyDescent="0.3">
      <c r="A6" s="105"/>
      <c r="B6" s="84"/>
      <c r="C6" s="85"/>
      <c r="D6" s="86" t="s">
        <v>0</v>
      </c>
      <c r="E6" s="86"/>
      <c r="F6" s="86" t="s">
        <v>35</v>
      </c>
      <c r="G6" s="87"/>
      <c r="H6" s="158"/>
    </row>
    <row r="7" spans="1:12" x14ac:dyDescent="0.3">
      <c r="A7" s="179" t="s">
        <v>1306</v>
      </c>
      <c r="B7" s="97" t="s">
        <v>1307</v>
      </c>
      <c r="C7" s="76" t="s">
        <v>1308</v>
      </c>
      <c r="D7" s="98"/>
      <c r="E7" s="177"/>
      <c r="F7" s="134"/>
      <c r="G7" s="135">
        <f>D7</f>
        <v>0</v>
      </c>
      <c r="H7" s="189" t="s">
        <v>291</v>
      </c>
    </row>
    <row r="8" spans="1:12" ht="18.75" x14ac:dyDescent="0.3">
      <c r="A8" s="179" t="s">
        <v>1860</v>
      </c>
      <c r="B8" s="90" t="s">
        <v>1905</v>
      </c>
      <c r="C8" s="49" t="s">
        <v>1823</v>
      </c>
      <c r="D8" s="136">
        <v>15898</v>
      </c>
      <c r="E8" s="136">
        <v>15898</v>
      </c>
      <c r="F8" s="93"/>
      <c r="G8" s="262">
        <f>D8-E8</f>
        <v>0</v>
      </c>
      <c r="H8" s="94"/>
    </row>
    <row r="9" spans="1:12" ht="18.75" x14ac:dyDescent="0.3">
      <c r="A9" s="179"/>
      <c r="B9" s="90" t="s">
        <v>1907</v>
      </c>
      <c r="C9" s="49" t="s">
        <v>1824</v>
      </c>
      <c r="D9" s="136">
        <v>16730</v>
      </c>
      <c r="E9" s="136">
        <v>16730</v>
      </c>
      <c r="F9" s="93"/>
      <c r="G9" s="262">
        <f t="shared" ref="G9:G12" si="0">D9-E9</f>
        <v>0</v>
      </c>
      <c r="H9" s="94"/>
    </row>
    <row r="10" spans="1:12" ht="18.75" x14ac:dyDescent="0.3">
      <c r="A10" s="179"/>
      <c r="B10" s="90"/>
      <c r="C10" s="49" t="s">
        <v>1825</v>
      </c>
      <c r="D10" s="136">
        <v>15876</v>
      </c>
      <c r="E10" s="136">
        <v>15876</v>
      </c>
      <c r="F10" s="93"/>
      <c r="G10" s="262">
        <f t="shared" si="0"/>
        <v>0</v>
      </c>
      <c r="H10" s="94"/>
    </row>
    <row r="11" spans="1:12" ht="18.75" x14ac:dyDescent="0.3">
      <c r="A11" s="179"/>
      <c r="B11" s="90" t="s">
        <v>1948</v>
      </c>
      <c r="C11" s="49" t="s">
        <v>1277</v>
      </c>
      <c r="D11" s="136">
        <v>15748</v>
      </c>
      <c r="E11" s="136">
        <v>15748</v>
      </c>
      <c r="F11" s="93"/>
      <c r="G11" s="262">
        <f t="shared" si="0"/>
        <v>0</v>
      </c>
      <c r="H11" s="94"/>
    </row>
    <row r="12" spans="1:12" ht="18.75" x14ac:dyDescent="0.3">
      <c r="A12" s="179" t="s">
        <v>1860</v>
      </c>
      <c r="B12" s="90" t="s">
        <v>1906</v>
      </c>
      <c r="C12" s="49" t="s">
        <v>1826</v>
      </c>
      <c r="D12" s="136">
        <v>15748</v>
      </c>
      <c r="E12" s="136">
        <v>15748</v>
      </c>
      <c r="F12" s="93"/>
      <c r="G12" s="262">
        <f t="shared" si="0"/>
        <v>0</v>
      </c>
      <c r="H12" s="75"/>
      <c r="K12" s="139"/>
      <c r="L12" s="138"/>
    </row>
    <row r="13" spans="1:12" x14ac:dyDescent="0.3">
      <c r="A13" s="179"/>
      <c r="B13" s="97"/>
      <c r="C13" s="188"/>
      <c r="D13" s="98"/>
      <c r="E13" s="177"/>
      <c r="F13" s="134"/>
      <c r="G13" s="135">
        <f t="shared" ref="G13" si="1">D13-E13</f>
        <v>0</v>
      </c>
      <c r="H13" s="189"/>
      <c r="K13" s="139"/>
      <c r="L13" s="138"/>
    </row>
    <row r="14" spans="1:12" x14ac:dyDescent="0.3">
      <c r="A14" s="179"/>
      <c r="B14" s="97"/>
      <c r="C14" s="76"/>
      <c r="D14" s="249"/>
      <c r="E14" s="98"/>
      <c r="F14" s="134"/>
      <c r="G14" s="135"/>
      <c r="H14" s="189"/>
      <c r="K14" s="139"/>
      <c r="L14" s="138"/>
    </row>
    <row r="15" spans="1:12" x14ac:dyDescent="0.3">
      <c r="A15" s="179"/>
      <c r="B15" s="97"/>
      <c r="C15" s="76"/>
      <c r="D15" s="98"/>
      <c r="E15" s="98"/>
      <c r="F15" s="134"/>
      <c r="G15" s="135"/>
      <c r="H15" s="189"/>
      <c r="K15" s="139"/>
      <c r="L15" s="138"/>
    </row>
    <row r="16" spans="1:12" x14ac:dyDescent="0.3">
      <c r="A16" s="179"/>
      <c r="B16" s="97"/>
      <c r="C16" s="76"/>
      <c r="D16" s="98"/>
      <c r="E16" s="177"/>
      <c r="F16" s="134"/>
      <c r="G16" s="135"/>
      <c r="H16" s="189"/>
      <c r="K16" s="139"/>
      <c r="L16" s="138"/>
    </row>
    <row r="17" spans="1:15" x14ac:dyDescent="0.3">
      <c r="A17" s="179"/>
      <c r="B17" s="97"/>
      <c r="C17" s="76"/>
      <c r="D17" s="98"/>
      <c r="E17" s="177"/>
      <c r="F17" s="134"/>
      <c r="G17" s="135"/>
      <c r="H17" s="189"/>
      <c r="K17" s="139"/>
      <c r="L17" s="138"/>
    </row>
    <row r="18" spans="1:15" x14ac:dyDescent="0.3">
      <c r="A18" s="179"/>
      <c r="B18" s="97"/>
      <c r="C18" s="76"/>
      <c r="D18" s="98"/>
      <c r="E18" s="177"/>
      <c r="F18" s="91"/>
      <c r="G18" s="135"/>
      <c r="H18" s="189"/>
      <c r="K18" s="139"/>
      <c r="L18" s="138"/>
    </row>
    <row r="19" spans="1:15" x14ac:dyDescent="0.3">
      <c r="A19" s="179"/>
      <c r="B19" s="97"/>
      <c r="C19" s="76"/>
      <c r="D19" s="98"/>
      <c r="E19" s="98"/>
      <c r="F19" s="91"/>
      <c r="G19" s="135"/>
      <c r="H19" s="189"/>
      <c r="K19" s="139"/>
      <c r="L19" s="138"/>
    </row>
    <row r="20" spans="1:15" x14ac:dyDescent="0.3">
      <c r="A20" s="179"/>
      <c r="B20" s="97"/>
      <c r="C20" s="188"/>
      <c r="D20" s="98"/>
      <c r="E20" s="177"/>
      <c r="F20" s="134"/>
      <c r="G20" s="135"/>
      <c r="H20" s="189"/>
      <c r="K20" s="139"/>
      <c r="L20" s="138"/>
    </row>
    <row r="21" spans="1:15" x14ac:dyDescent="0.3">
      <c r="A21" s="179"/>
      <c r="B21" s="97"/>
      <c r="C21" s="188"/>
      <c r="D21" s="98"/>
      <c r="E21" s="177"/>
      <c r="F21" s="134"/>
      <c r="G21" s="135"/>
      <c r="H21" s="189"/>
      <c r="K21" s="139"/>
      <c r="L21" s="138"/>
    </row>
    <row r="22" spans="1:15" x14ac:dyDescent="0.3">
      <c r="A22" s="179"/>
      <c r="B22" s="97"/>
      <c r="C22" s="188"/>
      <c r="D22" s="98"/>
      <c r="E22" s="177"/>
      <c r="F22" s="134"/>
      <c r="G22" s="135"/>
      <c r="H22" s="189"/>
      <c r="K22" s="139"/>
      <c r="L22" s="138"/>
    </row>
    <row r="23" spans="1:15" x14ac:dyDescent="0.3">
      <c r="A23" s="179"/>
      <c r="B23" s="97"/>
      <c r="C23" s="188"/>
      <c r="D23" s="98"/>
      <c r="E23" s="177"/>
      <c r="F23" s="134"/>
      <c r="G23" s="135"/>
      <c r="H23" s="189"/>
      <c r="K23" s="139"/>
      <c r="L23" s="138"/>
    </row>
    <row r="24" spans="1:15" x14ac:dyDescent="0.3">
      <c r="A24" s="179"/>
      <c r="B24" s="97"/>
      <c r="C24" s="76"/>
      <c r="D24" s="98"/>
      <c r="E24" s="177"/>
      <c r="F24" s="134"/>
      <c r="G24" s="135"/>
      <c r="H24" s="189"/>
      <c r="K24" s="139"/>
      <c r="L24" s="138"/>
    </row>
    <row r="25" spans="1:15" x14ac:dyDescent="0.3">
      <c r="A25" s="179"/>
      <c r="B25" s="97"/>
      <c r="C25" s="187"/>
      <c r="D25" s="134"/>
      <c r="E25" s="91"/>
      <c r="F25" s="91"/>
      <c r="G25" s="135"/>
      <c r="H25" s="150"/>
      <c r="K25" s="139"/>
      <c r="L25" s="138"/>
    </row>
    <row r="26" spans="1:15" ht="18" thickBot="1" x14ac:dyDescent="0.35">
      <c r="A26" s="108"/>
      <c r="B26" s="143"/>
      <c r="C26" s="131" t="s">
        <v>107</v>
      </c>
      <c r="D26" s="170">
        <f>SUM(D7:D25)</f>
        <v>80000</v>
      </c>
      <c r="E26" s="170">
        <f>SUM(E7:E25)</f>
        <v>80000</v>
      </c>
      <c r="F26" s="170">
        <f>SUM(F7:F25)</f>
        <v>0</v>
      </c>
      <c r="G26" s="161">
        <f>D26-E26-F26</f>
        <v>0</v>
      </c>
      <c r="H26" s="94"/>
      <c r="K26" s="139"/>
      <c r="L26" s="138"/>
    </row>
    <row r="27" spans="1:15" ht="18" thickTop="1" x14ac:dyDescent="0.3">
      <c r="D27" s="137"/>
      <c r="F27" s="176"/>
      <c r="G27" s="199"/>
      <c r="J27" s="155"/>
      <c r="K27" s="139"/>
      <c r="L27" s="138"/>
    </row>
    <row r="28" spans="1:15" x14ac:dyDescent="0.3">
      <c r="D28" s="137"/>
      <c r="E28" s="132"/>
      <c r="F28" s="164"/>
      <c r="G28" s="132"/>
      <c r="J28" s="155"/>
    </row>
    <row r="29" spans="1:15" x14ac:dyDescent="0.3">
      <c r="D29" s="137"/>
      <c r="E29" s="132"/>
      <c r="G29" s="132"/>
      <c r="J29" s="132"/>
      <c r="M29" s="132"/>
    </row>
    <row r="30" spans="1:15" x14ac:dyDescent="0.3">
      <c r="C30" s="164"/>
      <c r="E30" s="132"/>
      <c r="G30" s="164"/>
      <c r="M30" s="132"/>
    </row>
    <row r="31" spans="1:15" x14ac:dyDescent="0.3">
      <c r="C31" s="164"/>
      <c r="E31" s="164"/>
      <c r="G31" s="164"/>
      <c r="M31" s="164"/>
      <c r="O31" s="164"/>
    </row>
    <row r="32" spans="1:15" x14ac:dyDescent="0.3">
      <c r="E32" s="139"/>
      <c r="F32" s="132"/>
      <c r="G32" s="164"/>
      <c r="M32" s="132"/>
      <c r="N32" s="132"/>
      <c r="O32" s="164"/>
    </row>
    <row r="33" spans="2:15" x14ac:dyDescent="0.3">
      <c r="B33" s="138"/>
      <c r="C33" s="146"/>
      <c r="D33" s="171"/>
      <c r="E33" s="172"/>
      <c r="G33" s="173"/>
      <c r="O33" s="173"/>
    </row>
    <row r="34" spans="2:15" x14ac:dyDescent="0.3">
      <c r="B34" s="138"/>
      <c r="C34" s="138"/>
      <c r="D34" s="140"/>
      <c r="E34" s="139"/>
    </row>
    <row r="35" spans="2:15" x14ac:dyDescent="0.3">
      <c r="B35" s="138"/>
      <c r="C35" s="138"/>
      <c r="D35" s="140"/>
      <c r="E35" s="139"/>
      <c r="G35" s="132"/>
      <c r="O35" s="132"/>
    </row>
    <row r="36" spans="2:15" x14ac:dyDescent="0.3">
      <c r="B36" s="138"/>
      <c r="C36" s="138"/>
      <c r="D36" s="140"/>
      <c r="E36" s="139"/>
      <c r="G36" s="132"/>
    </row>
    <row r="37" spans="2:15" x14ac:dyDescent="0.3">
      <c r="B37" s="138"/>
      <c r="C37" s="138"/>
      <c r="D37" s="174"/>
      <c r="E37" s="146"/>
    </row>
    <row r="38" spans="2:15" x14ac:dyDescent="0.3">
      <c r="B38" s="138"/>
      <c r="C38" s="138"/>
      <c r="D38" s="138"/>
      <c r="E38" s="139"/>
    </row>
    <row r="39" spans="2:15" x14ac:dyDescent="0.3">
      <c r="B39" s="138"/>
      <c r="C39" s="138"/>
      <c r="D39" s="138"/>
      <c r="E39" s="146"/>
    </row>
  </sheetData>
  <mergeCells count="2">
    <mergeCell ref="A2:H2"/>
    <mergeCell ref="A3:H3"/>
  </mergeCells>
  <pageMargins left="0.27" right="0.15" top="0.15748031496062992" bottom="0.15748031496062992" header="0.15748031496062992" footer="0.15748031496062992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8"/>
  <sheetViews>
    <sheetView workbookViewId="0">
      <selection activeCell="J23" sqref="J23"/>
    </sheetView>
  </sheetViews>
  <sheetFormatPr defaultRowHeight="17.25" x14ac:dyDescent="0.3"/>
  <cols>
    <col min="1" max="1" width="8.140625" style="23" customWidth="1"/>
    <col min="2" max="2" width="7.85546875" style="78" bestFit="1" customWidth="1"/>
    <col min="3" max="3" width="34.28515625" style="78" customWidth="1"/>
    <col min="4" max="4" width="10.7109375" style="78" customWidth="1"/>
    <col min="5" max="5" width="11.140625" style="78" customWidth="1"/>
    <col min="6" max="6" width="8" style="78" customWidth="1"/>
    <col min="7" max="7" width="11.85546875" style="78" customWidth="1"/>
    <col min="8" max="8" width="8.85546875" style="78" customWidth="1"/>
    <col min="9" max="9" width="9.140625" style="78"/>
    <col min="10" max="10" width="14" style="132" customWidth="1"/>
    <col min="11" max="11" width="11.85546875" style="78" customWidth="1"/>
    <col min="12" max="12" width="11.28515625" style="78" customWidth="1"/>
    <col min="13" max="13" width="11" style="78" customWidth="1"/>
    <col min="14" max="16384" width="9.140625" style="78"/>
  </cols>
  <sheetData>
    <row r="2" spans="1:11" x14ac:dyDescent="0.3">
      <c r="A2" s="453" t="s">
        <v>209</v>
      </c>
      <c r="B2" s="453"/>
      <c r="C2" s="453"/>
      <c r="D2" s="453"/>
      <c r="E2" s="453"/>
      <c r="F2" s="453"/>
      <c r="G2" s="453"/>
      <c r="H2" s="453"/>
    </row>
    <row r="3" spans="1:11" x14ac:dyDescent="0.3">
      <c r="A3" s="453" t="s">
        <v>2486</v>
      </c>
      <c r="B3" s="453"/>
      <c r="C3" s="453"/>
      <c r="D3" s="453"/>
      <c r="E3" s="453"/>
      <c r="F3" s="453"/>
      <c r="G3" s="453"/>
      <c r="H3" s="453"/>
    </row>
    <row r="4" spans="1:11" x14ac:dyDescent="0.3">
      <c r="A4" s="101" t="s">
        <v>127</v>
      </c>
      <c r="B4" s="77"/>
      <c r="C4" s="77"/>
      <c r="D4" s="77"/>
      <c r="E4" s="152"/>
      <c r="F4" s="77">
        <v>3095</v>
      </c>
      <c r="G4" s="169" t="s">
        <v>5</v>
      </c>
      <c r="H4" s="169" t="s">
        <v>312</v>
      </c>
    </row>
    <row r="5" spans="1:11" x14ac:dyDescent="0.3">
      <c r="A5" s="178" t="s">
        <v>16</v>
      </c>
      <c r="B5" s="156" t="s">
        <v>12</v>
      </c>
      <c r="C5" s="81" t="s">
        <v>4</v>
      </c>
      <c r="D5" s="82" t="s">
        <v>15</v>
      </c>
      <c r="E5" s="82" t="s">
        <v>1</v>
      </c>
      <c r="F5" s="82" t="s">
        <v>34</v>
      </c>
      <c r="G5" s="83" t="s">
        <v>2</v>
      </c>
      <c r="H5" s="81" t="s">
        <v>3</v>
      </c>
    </row>
    <row r="6" spans="1:11" x14ac:dyDescent="0.3">
      <c r="A6" s="105"/>
      <c r="B6" s="84"/>
      <c r="C6" s="85"/>
      <c r="D6" s="86" t="s">
        <v>0</v>
      </c>
      <c r="E6" s="86"/>
      <c r="F6" s="86" t="s">
        <v>35</v>
      </c>
      <c r="G6" s="87"/>
      <c r="H6" s="158"/>
    </row>
    <row r="7" spans="1:11" ht="18.75" x14ac:dyDescent="0.3">
      <c r="A7" s="179" t="s">
        <v>313</v>
      </c>
      <c r="B7" s="90" t="s">
        <v>314</v>
      </c>
      <c r="C7" s="49" t="s">
        <v>315</v>
      </c>
      <c r="D7" s="93">
        <v>3500</v>
      </c>
      <c r="E7" s="93"/>
      <c r="F7" s="93"/>
      <c r="G7" s="42">
        <f>D7</f>
        <v>3500</v>
      </c>
      <c r="H7" s="75" t="s">
        <v>316</v>
      </c>
    </row>
    <row r="8" spans="1:11" ht="18.75" x14ac:dyDescent="0.3">
      <c r="A8" s="179" t="s">
        <v>639</v>
      </c>
      <c r="B8" s="90" t="s">
        <v>641</v>
      </c>
      <c r="C8" s="49" t="s">
        <v>640</v>
      </c>
      <c r="D8" s="93"/>
      <c r="E8" s="431">
        <v>2576</v>
      </c>
      <c r="F8" s="93"/>
      <c r="G8" s="256">
        <f>G7-E8</f>
        <v>924</v>
      </c>
      <c r="H8" s="94"/>
    </row>
    <row r="9" spans="1:11" ht="18.75" x14ac:dyDescent="0.3">
      <c r="A9" s="179"/>
      <c r="B9" s="90"/>
      <c r="C9" s="49"/>
      <c r="D9" s="236">
        <v>-924</v>
      </c>
      <c r="E9" s="431"/>
      <c r="F9" s="93"/>
      <c r="G9" s="301">
        <f>G8+D9</f>
        <v>0</v>
      </c>
      <c r="H9" s="94"/>
    </row>
    <row r="10" spans="1:11" ht="18.75" x14ac:dyDescent="0.3">
      <c r="A10" s="179"/>
      <c r="B10" s="90"/>
      <c r="C10" s="49"/>
      <c r="D10" s="93"/>
      <c r="E10" s="431"/>
      <c r="F10" s="93"/>
      <c r="G10" s="256"/>
      <c r="H10" s="94"/>
    </row>
    <row r="11" spans="1:11" ht="18.75" x14ac:dyDescent="0.3">
      <c r="A11" s="179" t="s">
        <v>392</v>
      </c>
      <c r="B11" s="90" t="s">
        <v>393</v>
      </c>
      <c r="C11" s="49" t="s">
        <v>394</v>
      </c>
      <c r="D11" s="93">
        <v>57900</v>
      </c>
      <c r="E11" s="431"/>
      <c r="F11" s="93"/>
      <c r="G11" s="42">
        <v>57900</v>
      </c>
      <c r="H11" s="75"/>
      <c r="J11" s="139"/>
      <c r="K11" s="138"/>
    </row>
    <row r="12" spans="1:11" ht="18.75" x14ac:dyDescent="0.3">
      <c r="A12" s="179" t="s">
        <v>376</v>
      </c>
      <c r="B12" s="90" t="s">
        <v>378</v>
      </c>
      <c r="C12" s="49" t="s">
        <v>381</v>
      </c>
      <c r="D12" s="93"/>
      <c r="E12" s="431">
        <v>2300</v>
      </c>
      <c r="F12" s="134"/>
      <c r="G12" s="262">
        <f>G11-E12</f>
        <v>55600</v>
      </c>
      <c r="H12" s="189"/>
      <c r="J12" s="139"/>
      <c r="K12" s="138"/>
    </row>
    <row r="13" spans="1:11" ht="18.75" x14ac:dyDescent="0.3">
      <c r="A13" s="179"/>
      <c r="B13" s="90" t="s">
        <v>379</v>
      </c>
      <c r="C13" s="49" t="s">
        <v>382</v>
      </c>
      <c r="D13" s="93"/>
      <c r="E13" s="431">
        <v>26000</v>
      </c>
      <c r="F13" s="134"/>
      <c r="G13" s="262">
        <f>G12-E13</f>
        <v>29600</v>
      </c>
      <c r="H13" s="189"/>
      <c r="J13" s="139"/>
      <c r="K13" s="138"/>
    </row>
    <row r="14" spans="1:11" ht="18.75" x14ac:dyDescent="0.3">
      <c r="A14" s="179"/>
      <c r="B14" s="90" t="s">
        <v>380</v>
      </c>
      <c r="C14" s="49" t="s">
        <v>383</v>
      </c>
      <c r="D14" s="93"/>
      <c r="E14" s="431">
        <v>600</v>
      </c>
      <c r="F14" s="134"/>
      <c r="G14" s="262">
        <f>G13-E14</f>
        <v>29000</v>
      </c>
      <c r="H14" s="189"/>
      <c r="J14" s="139"/>
      <c r="K14" s="138"/>
    </row>
    <row r="15" spans="1:11" ht="18.75" x14ac:dyDescent="0.3">
      <c r="A15" s="179" t="s">
        <v>615</v>
      </c>
      <c r="B15" s="97" t="s">
        <v>620</v>
      </c>
      <c r="C15" s="76" t="s">
        <v>394</v>
      </c>
      <c r="D15" s="98"/>
      <c r="E15" s="303">
        <v>29000</v>
      </c>
      <c r="F15" s="134"/>
      <c r="G15" s="410">
        <v>0</v>
      </c>
      <c r="H15" s="189"/>
      <c r="J15" s="139"/>
      <c r="K15" s="138"/>
    </row>
    <row r="16" spans="1:11" ht="18.75" x14ac:dyDescent="0.3">
      <c r="A16" s="179"/>
      <c r="B16" s="97"/>
      <c r="C16" s="188"/>
      <c r="D16" s="98"/>
      <c r="E16" s="432"/>
      <c r="F16" s="134"/>
      <c r="G16" s="262"/>
      <c r="H16" s="189"/>
      <c r="J16" s="139"/>
      <c r="K16" s="138"/>
    </row>
    <row r="17" spans="1:14" ht="18.75" x14ac:dyDescent="0.3">
      <c r="A17" s="179" t="s">
        <v>782</v>
      </c>
      <c r="B17" s="97" t="s">
        <v>785</v>
      </c>
      <c r="C17" s="188" t="s">
        <v>784</v>
      </c>
      <c r="D17" s="98">
        <v>3500</v>
      </c>
      <c r="E17" s="303"/>
      <c r="F17" s="91"/>
      <c r="G17" s="262">
        <v>3500</v>
      </c>
      <c r="H17" s="189" t="s">
        <v>18</v>
      </c>
      <c r="J17" s="139"/>
      <c r="K17" s="138"/>
    </row>
    <row r="18" spans="1:14" ht="18.75" x14ac:dyDescent="0.3">
      <c r="A18" s="179" t="s">
        <v>969</v>
      </c>
      <c r="B18" s="97" t="s">
        <v>974</v>
      </c>
      <c r="C18" s="188" t="s">
        <v>975</v>
      </c>
      <c r="D18" s="98"/>
      <c r="E18" s="303">
        <v>2240</v>
      </c>
      <c r="F18" s="134"/>
      <c r="G18" s="262">
        <f>G17-E18</f>
        <v>1260</v>
      </c>
      <c r="H18" s="189"/>
      <c r="J18" s="139"/>
      <c r="K18" s="138"/>
    </row>
    <row r="19" spans="1:14" ht="18.75" x14ac:dyDescent="0.3">
      <c r="A19" s="179"/>
      <c r="B19" s="97"/>
      <c r="C19" s="188"/>
      <c r="D19" s="407">
        <v>-1260</v>
      </c>
      <c r="E19" s="303"/>
      <c r="F19" s="134"/>
      <c r="G19" s="405">
        <f>G18+D19</f>
        <v>0</v>
      </c>
      <c r="H19" s="189"/>
      <c r="J19" s="139"/>
      <c r="K19" s="138"/>
    </row>
    <row r="20" spans="1:14" ht="18.75" x14ac:dyDescent="0.3">
      <c r="A20" s="179"/>
      <c r="B20" s="97"/>
      <c r="C20" s="188"/>
      <c r="D20" s="98"/>
      <c r="E20" s="432"/>
      <c r="F20" s="134"/>
      <c r="G20" s="262"/>
      <c r="H20" s="189"/>
      <c r="J20" s="139"/>
      <c r="K20" s="138"/>
    </row>
    <row r="21" spans="1:14" ht="18.75" x14ac:dyDescent="0.3">
      <c r="A21" s="179" t="s">
        <v>1539</v>
      </c>
      <c r="B21" s="97" t="s">
        <v>1540</v>
      </c>
      <c r="C21" s="188" t="s">
        <v>1538</v>
      </c>
      <c r="D21" s="98">
        <v>7000</v>
      </c>
      <c r="E21" s="303"/>
      <c r="F21" s="91"/>
      <c r="G21" s="262">
        <v>7000</v>
      </c>
      <c r="H21" s="189" t="s">
        <v>18</v>
      </c>
      <c r="J21" s="139"/>
      <c r="K21" s="138"/>
    </row>
    <row r="22" spans="1:14" ht="18.75" x14ac:dyDescent="0.3">
      <c r="A22" s="179" t="s">
        <v>1938</v>
      </c>
      <c r="B22" s="97" t="s">
        <v>1939</v>
      </c>
      <c r="C22" s="188" t="s">
        <v>1940</v>
      </c>
      <c r="D22" s="98"/>
      <c r="E22" s="303">
        <v>2344</v>
      </c>
      <c r="F22" s="91"/>
      <c r="G22" s="262">
        <f>G21-E22</f>
        <v>4656</v>
      </c>
      <c r="H22" s="189"/>
      <c r="J22" s="139"/>
      <c r="K22" s="138"/>
    </row>
    <row r="23" spans="1:14" ht="18.75" x14ac:dyDescent="0.3">
      <c r="A23" s="179"/>
      <c r="B23" s="97"/>
      <c r="C23" s="188"/>
      <c r="D23" s="407">
        <v>-4656</v>
      </c>
      <c r="E23" s="98"/>
      <c r="F23" s="91"/>
      <c r="G23" s="262">
        <f>G22+D23</f>
        <v>0</v>
      </c>
      <c r="H23" s="189"/>
      <c r="J23" s="139"/>
      <c r="K23" s="138"/>
    </row>
    <row r="24" spans="1:14" ht="19.5" thickBot="1" x14ac:dyDescent="0.35">
      <c r="A24" s="179"/>
      <c r="B24" s="97"/>
      <c r="C24" s="187"/>
      <c r="D24" s="134"/>
      <c r="E24" s="91"/>
      <c r="F24" s="91"/>
      <c r="G24" s="262"/>
      <c r="H24" s="414"/>
      <c r="J24" s="139"/>
      <c r="K24" s="138"/>
    </row>
    <row r="25" spans="1:14" ht="19.5" thickBot="1" x14ac:dyDescent="0.35">
      <c r="A25" s="108"/>
      <c r="B25" s="143"/>
      <c r="C25" s="131" t="s">
        <v>107</v>
      </c>
      <c r="D25" s="252">
        <f>SUM(D7:D24)</f>
        <v>65060</v>
      </c>
      <c r="E25" s="252">
        <f>SUM(E7:E24)</f>
        <v>65060</v>
      </c>
      <c r="F25" s="170">
        <f>SUM(F7:F24)</f>
        <v>0</v>
      </c>
      <c r="G25" s="415">
        <f>D25-E25-F25</f>
        <v>0</v>
      </c>
      <c r="H25" s="417"/>
      <c r="J25" s="139"/>
      <c r="K25" s="138"/>
    </row>
    <row r="26" spans="1:14" ht="18" thickTop="1" x14ac:dyDescent="0.3">
      <c r="D26" s="137"/>
      <c r="F26" s="176"/>
      <c r="G26" s="199"/>
      <c r="I26" s="155"/>
      <c r="J26" s="139"/>
      <c r="K26" s="138"/>
    </row>
    <row r="27" spans="1:14" x14ac:dyDescent="0.3">
      <c r="D27" s="137"/>
      <c r="E27" s="132"/>
      <c r="F27" s="164"/>
      <c r="G27" s="132"/>
      <c r="I27" s="155"/>
    </row>
    <row r="28" spans="1:14" x14ac:dyDescent="0.3">
      <c r="D28" s="137"/>
      <c r="E28" s="132"/>
      <c r="G28" s="132"/>
      <c r="I28" s="132"/>
      <c r="L28" s="132"/>
    </row>
    <row r="29" spans="1:14" x14ac:dyDescent="0.3">
      <c r="C29" s="164"/>
      <c r="E29" s="132"/>
      <c r="G29" s="164"/>
      <c r="L29" s="132"/>
    </row>
    <row r="30" spans="1:14" x14ac:dyDescent="0.3">
      <c r="C30" s="164"/>
      <c r="E30" s="164"/>
      <c r="G30" s="164"/>
      <c r="L30" s="164"/>
      <c r="N30" s="164"/>
    </row>
    <row r="31" spans="1:14" x14ac:dyDescent="0.3">
      <c r="E31" s="139"/>
      <c r="F31" s="132"/>
      <c r="G31" s="164"/>
      <c r="L31" s="132"/>
      <c r="M31" s="132"/>
      <c r="N31" s="164"/>
    </row>
    <row r="32" spans="1:14" x14ac:dyDescent="0.3">
      <c r="B32" s="138"/>
      <c r="C32" s="146"/>
      <c r="D32" s="171"/>
      <c r="E32" s="172"/>
      <c r="G32" s="164"/>
      <c r="N32" s="173"/>
    </row>
    <row r="33" spans="2:14" x14ac:dyDescent="0.3">
      <c r="B33" s="138"/>
      <c r="C33" s="138"/>
      <c r="D33" s="140"/>
      <c r="E33" s="139"/>
    </row>
    <row r="34" spans="2:14" x14ac:dyDescent="0.3">
      <c r="B34" s="138"/>
      <c r="C34" s="138"/>
      <c r="D34" s="140"/>
      <c r="E34" s="139"/>
      <c r="G34" s="132"/>
      <c r="N34" s="132"/>
    </row>
    <row r="35" spans="2:14" x14ac:dyDescent="0.3">
      <c r="B35" s="138"/>
      <c r="C35" s="138"/>
      <c r="D35" s="140"/>
      <c r="E35" s="139"/>
      <c r="G35" s="132"/>
    </row>
    <row r="36" spans="2:14" x14ac:dyDescent="0.3">
      <c r="B36" s="138"/>
      <c r="C36" s="138"/>
      <c r="D36" s="174"/>
      <c r="E36" s="146"/>
    </row>
    <row r="37" spans="2:14" x14ac:dyDescent="0.3">
      <c r="B37" s="138"/>
      <c r="C37" s="138"/>
      <c r="D37" s="138"/>
      <c r="E37" s="139"/>
    </row>
    <row r="38" spans="2:14" x14ac:dyDescent="0.3">
      <c r="B38" s="138"/>
      <c r="C38" s="138"/>
      <c r="D38" s="138"/>
      <c r="E38" s="146"/>
    </row>
  </sheetData>
  <mergeCells count="2">
    <mergeCell ref="A2:H2"/>
    <mergeCell ref="A3:H3"/>
  </mergeCells>
  <pageMargins left="0.27" right="0.15" top="0.15748031496062992" bottom="0.15748031496062992" header="0.15748031496062992" footer="0.15748031496062992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7"/>
  <sheetViews>
    <sheetView workbookViewId="0">
      <selection activeCell="E20" sqref="E20"/>
    </sheetView>
  </sheetViews>
  <sheetFormatPr defaultRowHeight="17.25" x14ac:dyDescent="0.3"/>
  <cols>
    <col min="1" max="1" width="8.140625" style="23" customWidth="1"/>
    <col min="2" max="2" width="7.85546875" style="78" bestFit="1" customWidth="1"/>
    <col min="3" max="3" width="34.28515625" style="78" customWidth="1"/>
    <col min="4" max="4" width="10.7109375" style="78" customWidth="1"/>
    <col min="5" max="5" width="10.28515625" style="78" customWidth="1"/>
    <col min="6" max="6" width="8.85546875" style="78" customWidth="1"/>
    <col min="7" max="7" width="11.85546875" style="78" customWidth="1"/>
    <col min="8" max="8" width="8.85546875" style="78" customWidth="1"/>
    <col min="9" max="9" width="9.85546875" style="137" bestFit="1" customWidth="1"/>
    <col min="10" max="10" width="9.140625" style="78"/>
    <col min="11" max="11" width="14" style="132" customWidth="1"/>
    <col min="12" max="12" width="11.85546875" style="78" customWidth="1"/>
    <col min="13" max="13" width="11.28515625" style="78" customWidth="1"/>
    <col min="14" max="14" width="11" style="78" customWidth="1"/>
    <col min="15" max="16384" width="9.140625" style="78"/>
  </cols>
  <sheetData>
    <row r="2" spans="1:12" x14ac:dyDescent="0.3">
      <c r="A2" s="453" t="s">
        <v>209</v>
      </c>
      <c r="B2" s="453"/>
      <c r="C2" s="453"/>
      <c r="D2" s="453"/>
      <c r="E2" s="453"/>
      <c r="F2" s="453"/>
      <c r="G2" s="453"/>
      <c r="H2" s="453"/>
    </row>
    <row r="3" spans="1:12" x14ac:dyDescent="0.3">
      <c r="A3" s="453" t="s">
        <v>2471</v>
      </c>
      <c r="B3" s="453"/>
      <c r="C3" s="453"/>
      <c r="D3" s="453"/>
      <c r="E3" s="453"/>
      <c r="F3" s="453"/>
      <c r="G3" s="453"/>
      <c r="H3" s="453"/>
    </row>
    <row r="4" spans="1:12" x14ac:dyDescent="0.3">
      <c r="A4" s="101" t="s">
        <v>127</v>
      </c>
      <c r="B4" s="77"/>
      <c r="C4" s="77"/>
      <c r="D4" s="77"/>
      <c r="E4" s="152"/>
      <c r="F4" s="77"/>
      <c r="G4" s="169" t="s">
        <v>5</v>
      </c>
      <c r="H4" s="169" t="s">
        <v>312</v>
      </c>
    </row>
    <row r="5" spans="1:12" x14ac:dyDescent="0.3">
      <c r="A5" s="178" t="s">
        <v>16</v>
      </c>
      <c r="B5" s="156" t="s">
        <v>12</v>
      </c>
      <c r="C5" s="81" t="s">
        <v>4</v>
      </c>
      <c r="D5" s="82" t="s">
        <v>15</v>
      </c>
      <c r="E5" s="82" t="s">
        <v>1</v>
      </c>
      <c r="F5" s="82" t="s">
        <v>34</v>
      </c>
      <c r="G5" s="83" t="s">
        <v>2</v>
      </c>
      <c r="H5" s="81" t="s">
        <v>3</v>
      </c>
    </row>
    <row r="6" spans="1:12" x14ac:dyDescent="0.3">
      <c r="A6" s="105"/>
      <c r="B6" s="84"/>
      <c r="C6" s="85"/>
      <c r="D6" s="86" t="s">
        <v>0</v>
      </c>
      <c r="E6" s="86"/>
      <c r="F6" s="86" t="s">
        <v>35</v>
      </c>
      <c r="G6" s="87"/>
      <c r="H6" s="158" t="s">
        <v>2159</v>
      </c>
    </row>
    <row r="7" spans="1:12" x14ac:dyDescent="0.3">
      <c r="A7" s="179"/>
      <c r="B7" s="90"/>
      <c r="C7" s="49"/>
      <c r="D7" s="93"/>
      <c r="E7" s="93"/>
      <c r="F7" s="93"/>
      <c r="G7" s="211"/>
      <c r="H7" s="75"/>
    </row>
    <row r="8" spans="1:12" x14ac:dyDescent="0.3">
      <c r="A8" s="179" t="s">
        <v>1989</v>
      </c>
      <c r="B8" s="90" t="s">
        <v>2005</v>
      </c>
      <c r="C8" s="49" t="s">
        <v>2006</v>
      </c>
      <c r="D8" s="93"/>
      <c r="E8" s="93"/>
      <c r="F8" s="93"/>
      <c r="G8" s="92"/>
      <c r="H8" s="94" t="s">
        <v>18</v>
      </c>
    </row>
    <row r="9" spans="1:12" ht="18.75" x14ac:dyDescent="0.3">
      <c r="A9" s="179"/>
      <c r="B9" s="90" t="s">
        <v>2598</v>
      </c>
      <c r="C9" s="49" t="s">
        <v>2144</v>
      </c>
      <c r="D9" s="136">
        <v>10000</v>
      </c>
      <c r="E9" s="136">
        <v>10000</v>
      </c>
      <c r="F9" s="93"/>
      <c r="G9" s="262">
        <v>0</v>
      </c>
      <c r="H9" s="94"/>
    </row>
    <row r="10" spans="1:12" ht="18.75" x14ac:dyDescent="0.3">
      <c r="A10" s="179"/>
      <c r="B10" s="90"/>
      <c r="C10" s="49"/>
      <c r="D10" s="136"/>
      <c r="E10" s="93"/>
      <c r="F10" s="93"/>
      <c r="G10" s="42"/>
      <c r="H10" s="75"/>
      <c r="K10" s="139"/>
      <c r="L10" s="138"/>
    </row>
    <row r="11" spans="1:12" ht="18.75" x14ac:dyDescent="0.3">
      <c r="A11" s="179" t="s">
        <v>2420</v>
      </c>
      <c r="B11" s="90" t="s">
        <v>2425</v>
      </c>
      <c r="C11" s="49" t="s">
        <v>1271</v>
      </c>
      <c r="D11" s="136">
        <v>10000</v>
      </c>
      <c r="E11" s="136">
        <v>10000</v>
      </c>
      <c r="F11" s="134"/>
      <c r="G11" s="262">
        <f>D11-E11</f>
        <v>0</v>
      </c>
      <c r="H11" s="189"/>
      <c r="K11" s="139"/>
      <c r="L11" s="138"/>
    </row>
    <row r="12" spans="1:12" ht="18.75" x14ac:dyDescent="0.3">
      <c r="A12" s="179"/>
      <c r="B12" s="90"/>
      <c r="C12" s="49"/>
      <c r="D12" s="136"/>
      <c r="E12" s="93"/>
      <c r="F12" s="134"/>
      <c r="G12" s="262"/>
      <c r="H12" s="189"/>
      <c r="K12" s="139"/>
      <c r="L12" s="138"/>
    </row>
    <row r="13" spans="1:12" ht="18.75" x14ac:dyDescent="0.3">
      <c r="A13" s="179"/>
      <c r="B13" s="97"/>
      <c r="C13" s="49"/>
      <c r="D13" s="249"/>
      <c r="E13" s="98"/>
      <c r="F13" s="134"/>
      <c r="G13" s="410"/>
      <c r="H13" s="189"/>
      <c r="K13" s="139"/>
      <c r="L13" s="138"/>
    </row>
    <row r="14" spans="1:12" ht="18.75" x14ac:dyDescent="0.3">
      <c r="A14" s="179" t="s">
        <v>2420</v>
      </c>
      <c r="B14" s="90" t="s">
        <v>2425</v>
      </c>
      <c r="C14" s="49" t="s">
        <v>2145</v>
      </c>
      <c r="D14" s="136">
        <v>10000</v>
      </c>
      <c r="E14" s="136">
        <v>10000</v>
      </c>
      <c r="F14" s="134"/>
      <c r="G14" s="262">
        <f>D14-E14</f>
        <v>0</v>
      </c>
      <c r="H14" s="189"/>
      <c r="K14" s="139"/>
      <c r="L14" s="138"/>
    </row>
    <row r="15" spans="1:12" ht="18.75" x14ac:dyDescent="0.3">
      <c r="A15" s="179"/>
      <c r="B15" s="97"/>
      <c r="C15" s="188"/>
      <c r="D15" s="249"/>
      <c r="E15" s="98"/>
      <c r="F15" s="91"/>
      <c r="G15" s="262"/>
      <c r="H15" s="189"/>
      <c r="K15" s="139"/>
      <c r="L15" s="138"/>
    </row>
    <row r="16" spans="1:12" x14ac:dyDescent="0.3">
      <c r="A16" s="179"/>
      <c r="B16" s="97"/>
      <c r="C16" s="188"/>
      <c r="D16" s="249"/>
      <c r="E16" s="98"/>
      <c r="F16" s="134"/>
      <c r="G16" s="135"/>
      <c r="H16" s="189"/>
      <c r="K16" s="139"/>
      <c r="L16" s="138"/>
    </row>
    <row r="17" spans="1:15" x14ac:dyDescent="0.3">
      <c r="A17" s="179" t="s">
        <v>2083</v>
      </c>
      <c r="B17" s="97" t="s">
        <v>2146</v>
      </c>
      <c r="C17" s="76" t="s">
        <v>2147</v>
      </c>
      <c r="D17" s="249">
        <v>50000</v>
      </c>
      <c r="E17" s="177"/>
      <c r="F17" s="134"/>
      <c r="G17" s="135">
        <v>50000</v>
      </c>
      <c r="H17" s="189" t="s">
        <v>2468</v>
      </c>
      <c r="K17" s="139"/>
      <c r="L17" s="138"/>
    </row>
    <row r="18" spans="1:15" ht="18.75" x14ac:dyDescent="0.3">
      <c r="A18" s="179" t="s">
        <v>2599</v>
      </c>
      <c r="B18" s="97" t="s">
        <v>2632</v>
      </c>
      <c r="C18" s="219" t="s">
        <v>180</v>
      </c>
      <c r="D18" s="249"/>
      <c r="E18" s="98">
        <v>50000</v>
      </c>
      <c r="F18" s="134"/>
      <c r="G18" s="262">
        <f>G17-E18-F18</f>
        <v>0</v>
      </c>
      <c r="H18" s="189"/>
      <c r="K18" s="139"/>
      <c r="L18" s="138"/>
    </row>
    <row r="19" spans="1:15" x14ac:dyDescent="0.3">
      <c r="A19" s="179"/>
      <c r="B19" s="97"/>
      <c r="C19" s="188"/>
      <c r="D19" s="98"/>
      <c r="E19" s="98"/>
      <c r="F19" s="91"/>
      <c r="G19" s="135"/>
      <c r="H19" s="189"/>
      <c r="K19" s="139"/>
      <c r="L19" s="138"/>
    </row>
    <row r="20" spans="1:15" x14ac:dyDescent="0.3">
      <c r="A20" s="179" t="s">
        <v>2083</v>
      </c>
      <c r="B20" s="97" t="s">
        <v>2157</v>
      </c>
      <c r="C20" s="188" t="s">
        <v>2158</v>
      </c>
      <c r="D20" s="249">
        <v>5000</v>
      </c>
      <c r="E20" s="98"/>
      <c r="F20" s="91"/>
      <c r="G20" s="135">
        <v>5000</v>
      </c>
      <c r="H20" s="189" t="s">
        <v>2267</v>
      </c>
      <c r="K20" s="139"/>
      <c r="L20" s="138"/>
    </row>
    <row r="21" spans="1:15" ht="18.75" x14ac:dyDescent="0.3">
      <c r="A21" s="179" t="s">
        <v>2420</v>
      </c>
      <c r="B21" s="97" t="s">
        <v>2434</v>
      </c>
      <c r="C21" s="188" t="s">
        <v>2266</v>
      </c>
      <c r="D21" s="98"/>
      <c r="E21" s="98">
        <v>1244</v>
      </c>
      <c r="F21" s="91"/>
      <c r="G21" s="262">
        <f>G20-E21-F21</f>
        <v>3756</v>
      </c>
      <c r="H21" s="189"/>
      <c r="K21" s="139"/>
      <c r="L21" s="138"/>
    </row>
    <row r="22" spans="1:15" ht="18.75" x14ac:dyDescent="0.3">
      <c r="A22" s="179" t="s">
        <v>2429</v>
      </c>
      <c r="B22" s="97"/>
      <c r="C22" s="218" t="s">
        <v>2485</v>
      </c>
      <c r="D22" s="407">
        <v>-3756</v>
      </c>
      <c r="E22" s="98"/>
      <c r="F22" s="91"/>
      <c r="G22" s="262">
        <f>G21+D22</f>
        <v>0</v>
      </c>
      <c r="H22" s="189"/>
      <c r="K22" s="139"/>
      <c r="L22" s="138"/>
    </row>
    <row r="23" spans="1:15" ht="18" thickBot="1" x14ac:dyDescent="0.35">
      <c r="A23" s="179"/>
      <c r="B23" s="97"/>
      <c r="C23" s="187"/>
      <c r="D23" s="134"/>
      <c r="E23" s="91"/>
      <c r="F23" s="91"/>
      <c r="G23" s="135"/>
      <c r="H23" s="414"/>
      <c r="K23" s="139"/>
      <c r="L23" s="138"/>
    </row>
    <row r="24" spans="1:15" ht="19.5" thickBot="1" x14ac:dyDescent="0.35">
      <c r="A24" s="108"/>
      <c r="B24" s="143"/>
      <c r="C24" s="131" t="s">
        <v>107</v>
      </c>
      <c r="D24" s="252">
        <f>SUM(D7:D23)</f>
        <v>81244</v>
      </c>
      <c r="E24" s="252">
        <f>SUM(E7:E23)</f>
        <v>81244</v>
      </c>
      <c r="F24" s="252">
        <f>SUM(F7:F23)</f>
        <v>0</v>
      </c>
      <c r="G24" s="419">
        <f>D24-E24-F24</f>
        <v>0</v>
      </c>
      <c r="H24" s="417"/>
      <c r="K24" s="139"/>
      <c r="L24" s="138"/>
    </row>
    <row r="25" spans="1:15" ht="18" thickTop="1" x14ac:dyDescent="0.3">
      <c r="D25" s="137"/>
      <c r="F25" s="176"/>
      <c r="G25" s="199"/>
      <c r="J25" s="155"/>
      <c r="K25" s="139"/>
      <c r="L25" s="138"/>
    </row>
    <row r="26" spans="1:15" x14ac:dyDescent="0.3">
      <c r="D26" s="137"/>
      <c r="E26" s="132"/>
      <c r="F26" s="164"/>
      <c r="G26" s="132"/>
      <c r="J26" s="155"/>
    </row>
    <row r="27" spans="1:15" x14ac:dyDescent="0.3">
      <c r="D27" s="137"/>
      <c r="E27" s="132"/>
      <c r="G27" s="132"/>
      <c r="J27" s="132"/>
      <c r="M27" s="132"/>
    </row>
    <row r="28" spans="1:15" x14ac:dyDescent="0.3">
      <c r="C28" s="164"/>
      <c r="E28" s="132"/>
      <c r="G28" s="164"/>
      <c r="M28" s="132"/>
    </row>
    <row r="29" spans="1:15" x14ac:dyDescent="0.3">
      <c r="C29" s="164"/>
      <c r="E29" s="164"/>
      <c r="G29" s="164"/>
      <c r="M29" s="164"/>
      <c r="O29" s="164"/>
    </row>
    <row r="30" spans="1:15" x14ac:dyDescent="0.3">
      <c r="E30" s="139"/>
      <c r="F30" s="132"/>
      <c r="G30" s="164"/>
      <c r="M30" s="132"/>
      <c r="N30" s="132"/>
      <c r="O30" s="164"/>
    </row>
    <row r="31" spans="1:15" x14ac:dyDescent="0.3">
      <c r="B31" s="138"/>
      <c r="C31" s="146"/>
      <c r="D31" s="171"/>
      <c r="E31" s="172"/>
      <c r="G31" s="173"/>
      <c r="O31" s="173"/>
    </row>
    <row r="32" spans="1:15" x14ac:dyDescent="0.3">
      <c r="B32" s="138"/>
      <c r="C32" s="138"/>
      <c r="D32" s="140"/>
      <c r="E32" s="139"/>
    </row>
    <row r="33" spans="2:15" x14ac:dyDescent="0.3">
      <c r="B33" s="138"/>
      <c r="C33" s="138"/>
      <c r="D33" s="140"/>
      <c r="E33" s="139"/>
      <c r="G33" s="132"/>
      <c r="O33" s="132"/>
    </row>
    <row r="34" spans="2:15" x14ac:dyDescent="0.3">
      <c r="B34" s="138"/>
      <c r="C34" s="138"/>
      <c r="D34" s="140"/>
      <c r="E34" s="139"/>
      <c r="G34" s="132"/>
    </row>
    <row r="35" spans="2:15" x14ac:dyDescent="0.3">
      <c r="B35" s="138"/>
      <c r="C35" s="138"/>
      <c r="D35" s="174"/>
      <c r="E35" s="146"/>
    </row>
    <row r="36" spans="2:15" x14ac:dyDescent="0.3">
      <c r="B36" s="138"/>
      <c r="C36" s="138"/>
      <c r="D36" s="138"/>
      <c r="E36" s="139"/>
    </row>
    <row r="37" spans="2:15" x14ac:dyDescent="0.3">
      <c r="B37" s="138"/>
      <c r="C37" s="138"/>
      <c r="D37" s="138"/>
      <c r="E37" s="146"/>
    </row>
  </sheetData>
  <mergeCells count="2">
    <mergeCell ref="A2:H2"/>
    <mergeCell ref="A3:H3"/>
  </mergeCells>
  <pageMargins left="0.27" right="0.15" top="0.15748031496062992" bottom="0.15748031496062992" header="0.15748031496062992" footer="0.15748031496062992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"/>
  <sheetViews>
    <sheetView workbookViewId="0">
      <selection activeCell="I7" sqref="I7:I11"/>
    </sheetView>
  </sheetViews>
  <sheetFormatPr defaultRowHeight="17.25" x14ac:dyDescent="0.3"/>
  <cols>
    <col min="1" max="1" width="8.140625" style="23" customWidth="1"/>
    <col min="2" max="2" width="7.85546875" style="78" bestFit="1" customWidth="1"/>
    <col min="3" max="3" width="33" style="78" customWidth="1"/>
    <col min="4" max="4" width="10.7109375" style="78" customWidth="1"/>
    <col min="5" max="5" width="11.140625" style="78" customWidth="1"/>
    <col min="6" max="6" width="8.140625" style="78" customWidth="1"/>
    <col min="7" max="7" width="11.85546875" style="78" customWidth="1"/>
    <col min="8" max="8" width="9.7109375" style="78" customWidth="1"/>
    <col min="9" max="9" width="9.85546875" style="137" bestFit="1" customWidth="1"/>
    <col min="10" max="10" width="9.140625" style="78"/>
    <col min="11" max="11" width="14" style="132" customWidth="1"/>
    <col min="12" max="12" width="11.85546875" style="78" customWidth="1"/>
    <col min="13" max="13" width="11.28515625" style="78" customWidth="1"/>
    <col min="14" max="14" width="11" style="78" customWidth="1"/>
    <col min="15" max="16384" width="9.140625" style="78"/>
  </cols>
  <sheetData>
    <row r="2" spans="1:12" x14ac:dyDescent="0.3">
      <c r="A2" s="453" t="s">
        <v>209</v>
      </c>
      <c r="B2" s="453"/>
      <c r="C2" s="453"/>
      <c r="D2" s="453"/>
      <c r="E2" s="453"/>
      <c r="F2" s="453"/>
      <c r="G2" s="453"/>
      <c r="H2" s="453"/>
    </row>
    <row r="3" spans="1:12" x14ac:dyDescent="0.3">
      <c r="A3" s="453" t="s">
        <v>2471</v>
      </c>
      <c r="B3" s="453"/>
      <c r="C3" s="453"/>
      <c r="D3" s="453"/>
      <c r="E3" s="453"/>
      <c r="F3" s="453"/>
      <c r="G3" s="453"/>
      <c r="H3" s="453"/>
    </row>
    <row r="4" spans="1:12" x14ac:dyDescent="0.3">
      <c r="A4" s="101" t="s">
        <v>127</v>
      </c>
      <c r="B4" s="77"/>
      <c r="C4" s="77"/>
      <c r="D4" s="77"/>
      <c r="E4" s="152"/>
      <c r="F4" s="77"/>
      <c r="G4" s="169" t="s">
        <v>5</v>
      </c>
      <c r="H4" s="169" t="s">
        <v>611</v>
      </c>
    </row>
    <row r="5" spans="1:12" x14ac:dyDescent="0.3">
      <c r="A5" s="178" t="s">
        <v>16</v>
      </c>
      <c r="B5" s="156" t="s">
        <v>12</v>
      </c>
      <c r="C5" s="81" t="s">
        <v>4</v>
      </c>
      <c r="D5" s="82" t="s">
        <v>15</v>
      </c>
      <c r="E5" s="82" t="s">
        <v>1</v>
      </c>
      <c r="F5" s="82" t="s">
        <v>34</v>
      </c>
      <c r="G5" s="83" t="s">
        <v>2</v>
      </c>
      <c r="H5" s="81" t="s">
        <v>3</v>
      </c>
    </row>
    <row r="6" spans="1:12" x14ac:dyDescent="0.3">
      <c r="A6" s="105"/>
      <c r="B6" s="84"/>
      <c r="C6" s="85"/>
      <c r="D6" s="86" t="s">
        <v>0</v>
      </c>
      <c r="E6" s="86"/>
      <c r="F6" s="86" t="s">
        <v>35</v>
      </c>
      <c r="G6" s="87"/>
      <c r="H6" s="158"/>
    </row>
    <row r="7" spans="1:12" x14ac:dyDescent="0.3">
      <c r="A7" s="179" t="s">
        <v>599</v>
      </c>
      <c r="B7" s="97" t="s">
        <v>602</v>
      </c>
      <c r="C7" s="188" t="s">
        <v>603</v>
      </c>
      <c r="D7" s="98">
        <v>8200</v>
      </c>
      <c r="E7" s="177"/>
      <c r="F7" s="134"/>
      <c r="G7" s="135">
        <v>8200</v>
      </c>
      <c r="H7" s="189" t="s">
        <v>604</v>
      </c>
    </row>
    <row r="8" spans="1:12" x14ac:dyDescent="0.3">
      <c r="A8" s="179"/>
      <c r="B8" s="97" t="s">
        <v>613</v>
      </c>
      <c r="C8" s="188" t="s">
        <v>614</v>
      </c>
      <c r="D8" s="98"/>
      <c r="E8" s="98">
        <v>3544</v>
      </c>
      <c r="F8" s="91"/>
      <c r="G8" s="387">
        <f>G7-E8</f>
        <v>4656</v>
      </c>
      <c r="H8" s="189"/>
    </row>
    <row r="9" spans="1:12" ht="21" x14ac:dyDescent="0.35">
      <c r="A9" s="179"/>
      <c r="B9" s="90"/>
      <c r="C9" s="49" t="s">
        <v>2485</v>
      </c>
      <c r="D9" s="93">
        <v>-4656</v>
      </c>
      <c r="E9" s="93"/>
      <c r="F9" s="93"/>
      <c r="G9" s="442">
        <f>G8+D9</f>
        <v>0</v>
      </c>
      <c r="H9" s="94"/>
    </row>
    <row r="10" spans="1:12" x14ac:dyDescent="0.3">
      <c r="A10" s="179"/>
      <c r="B10" s="90"/>
      <c r="C10" s="49"/>
      <c r="D10" s="93"/>
      <c r="E10" s="93"/>
      <c r="F10" s="93"/>
      <c r="G10" s="211"/>
      <c r="H10" s="75"/>
      <c r="K10" s="139"/>
      <c r="L10" s="138"/>
    </row>
    <row r="11" spans="1:12" x14ac:dyDescent="0.3">
      <c r="A11" s="179"/>
      <c r="B11" s="90"/>
      <c r="C11" s="49"/>
      <c r="D11" s="93"/>
      <c r="E11" s="93"/>
      <c r="F11" s="134"/>
      <c r="G11" s="135"/>
      <c r="H11" s="189"/>
      <c r="K11" s="139"/>
      <c r="L11" s="138"/>
    </row>
    <row r="12" spans="1:12" x14ac:dyDescent="0.3">
      <c r="A12" s="179"/>
      <c r="B12" s="90"/>
      <c r="C12" s="49"/>
      <c r="D12" s="93"/>
      <c r="E12" s="93"/>
      <c r="F12" s="134"/>
      <c r="G12" s="135"/>
      <c r="H12" s="189"/>
      <c r="K12" s="139"/>
      <c r="L12" s="138"/>
    </row>
    <row r="13" spans="1:12" x14ac:dyDescent="0.3">
      <c r="A13" s="179"/>
      <c r="B13" s="90"/>
      <c r="C13" s="49"/>
      <c r="D13" s="93"/>
      <c r="E13" s="93"/>
      <c r="F13" s="134"/>
      <c r="G13" s="135"/>
      <c r="H13" s="189"/>
      <c r="K13" s="139"/>
      <c r="L13" s="138"/>
    </row>
    <row r="14" spans="1:12" x14ac:dyDescent="0.3">
      <c r="A14" s="179"/>
      <c r="B14" s="97"/>
      <c r="C14" s="76"/>
      <c r="D14" s="98"/>
      <c r="E14" s="177"/>
      <c r="F14" s="134"/>
      <c r="G14" s="135"/>
      <c r="H14" s="189"/>
      <c r="K14" s="139"/>
      <c r="L14" s="138"/>
    </row>
    <row r="15" spans="1:12" x14ac:dyDescent="0.3">
      <c r="A15" s="179"/>
      <c r="B15" s="97"/>
      <c r="C15" s="188"/>
      <c r="D15" s="98"/>
      <c r="E15" s="177"/>
      <c r="F15" s="134"/>
      <c r="G15" s="135"/>
      <c r="H15" s="189"/>
      <c r="K15" s="139"/>
      <c r="L15" s="138"/>
    </row>
    <row r="16" spans="1:12" x14ac:dyDescent="0.3">
      <c r="A16" s="179"/>
      <c r="B16" s="97"/>
      <c r="C16" s="188"/>
      <c r="D16" s="98"/>
      <c r="E16" s="177"/>
      <c r="F16" s="91"/>
      <c r="G16" s="135"/>
      <c r="H16" s="189"/>
      <c r="K16" s="139"/>
      <c r="L16" s="138"/>
    </row>
    <row r="17" spans="1:15" x14ac:dyDescent="0.3">
      <c r="A17" s="179"/>
      <c r="B17" s="97"/>
      <c r="C17" s="188"/>
      <c r="D17" s="98"/>
      <c r="E17" s="177"/>
      <c r="F17" s="134"/>
      <c r="G17" s="135"/>
      <c r="H17" s="189"/>
      <c r="K17" s="139"/>
      <c r="L17" s="138"/>
    </row>
    <row r="18" spans="1:15" x14ac:dyDescent="0.3">
      <c r="A18" s="179"/>
      <c r="B18" s="97"/>
      <c r="C18" s="188"/>
      <c r="D18" s="98"/>
      <c r="E18" s="177"/>
      <c r="F18" s="134"/>
      <c r="G18" s="135"/>
      <c r="H18" s="189"/>
      <c r="K18" s="139"/>
      <c r="L18" s="138"/>
    </row>
    <row r="19" spans="1:15" x14ac:dyDescent="0.3">
      <c r="A19" s="179"/>
      <c r="B19" s="97"/>
      <c r="C19" s="188"/>
      <c r="D19" s="98"/>
      <c r="E19" s="177"/>
      <c r="F19" s="134"/>
      <c r="G19" s="135"/>
      <c r="H19" s="189"/>
      <c r="K19" s="139"/>
      <c r="L19" s="138"/>
    </row>
    <row r="20" spans="1:15" ht="18" thickBot="1" x14ac:dyDescent="0.35">
      <c r="A20" s="179"/>
      <c r="B20" s="97"/>
      <c r="C20" s="187"/>
      <c r="D20" s="134"/>
      <c r="E20" s="91"/>
      <c r="F20" s="91"/>
      <c r="G20" s="135"/>
      <c r="H20" s="414"/>
      <c r="K20" s="139"/>
      <c r="L20" s="138"/>
    </row>
    <row r="21" spans="1:15" ht="18" thickBot="1" x14ac:dyDescent="0.35">
      <c r="A21" s="108"/>
      <c r="B21" s="143"/>
      <c r="C21" s="131" t="s">
        <v>107</v>
      </c>
      <c r="D21" s="170">
        <f>SUM(D7:D20)</f>
        <v>3544</v>
      </c>
      <c r="E21" s="170">
        <f>SUM(E7:E20)</f>
        <v>3544</v>
      </c>
      <c r="F21" s="170">
        <f>SUM(F7:F20)</f>
        <v>0</v>
      </c>
      <c r="G21" s="419">
        <f>D21-E21-F21</f>
        <v>0</v>
      </c>
      <c r="H21" s="420"/>
      <c r="K21" s="139"/>
      <c r="L21" s="138"/>
    </row>
    <row r="22" spans="1:15" ht="18" thickTop="1" x14ac:dyDescent="0.3">
      <c r="D22" s="137"/>
      <c r="F22" s="176"/>
      <c r="G22" s="199"/>
      <c r="J22" s="155"/>
      <c r="K22" s="139"/>
      <c r="L22" s="138"/>
    </row>
    <row r="23" spans="1:15" x14ac:dyDescent="0.3">
      <c r="D23" s="137"/>
      <c r="E23" s="132"/>
      <c r="F23" s="164"/>
      <c r="G23" s="132"/>
      <c r="J23" s="155"/>
    </row>
    <row r="24" spans="1:15" x14ac:dyDescent="0.3">
      <c r="D24" s="137"/>
      <c r="E24" s="132"/>
      <c r="G24" s="132"/>
      <c r="J24" s="132"/>
      <c r="M24" s="132"/>
    </row>
    <row r="25" spans="1:15" x14ac:dyDescent="0.3">
      <c r="C25" s="164"/>
      <c r="E25" s="132"/>
      <c r="G25" s="164"/>
      <c r="M25" s="132"/>
    </row>
    <row r="26" spans="1:15" x14ac:dyDescent="0.3">
      <c r="C26" s="164"/>
      <c r="E26" s="164"/>
      <c r="G26" s="164"/>
      <c r="M26" s="164"/>
      <c r="O26" s="164"/>
    </row>
    <row r="27" spans="1:15" x14ac:dyDescent="0.3">
      <c r="E27" s="139"/>
      <c r="F27" s="132"/>
      <c r="G27" s="164"/>
      <c r="M27" s="132"/>
      <c r="N27" s="132"/>
      <c r="O27" s="164"/>
    </row>
    <row r="28" spans="1:15" x14ac:dyDescent="0.3">
      <c r="B28" s="138"/>
      <c r="C28" s="146"/>
      <c r="D28" s="171"/>
      <c r="E28" s="172"/>
      <c r="G28" s="173"/>
      <c r="O28" s="173"/>
    </row>
    <row r="29" spans="1:15" x14ac:dyDescent="0.3">
      <c r="B29" s="138"/>
      <c r="C29" s="138"/>
      <c r="D29" s="140"/>
      <c r="E29" s="139"/>
    </row>
    <row r="30" spans="1:15" x14ac:dyDescent="0.3">
      <c r="B30" s="138"/>
      <c r="C30" s="138"/>
      <c r="D30" s="140"/>
      <c r="E30" s="139"/>
      <c r="G30" s="132"/>
      <c r="O30" s="132"/>
    </row>
    <row r="31" spans="1:15" x14ac:dyDescent="0.3">
      <c r="B31" s="138"/>
      <c r="C31" s="138"/>
      <c r="D31" s="140"/>
      <c r="E31" s="139"/>
      <c r="G31" s="132"/>
    </row>
    <row r="32" spans="1:15" x14ac:dyDescent="0.3">
      <c r="B32" s="138"/>
      <c r="C32" s="138"/>
      <c r="D32" s="174"/>
      <c r="E32" s="146"/>
    </row>
    <row r="33" spans="2:5" x14ac:dyDescent="0.3">
      <c r="B33" s="138"/>
      <c r="C33" s="138"/>
      <c r="D33" s="138"/>
      <c r="E33" s="139"/>
    </row>
    <row r="34" spans="2:5" x14ac:dyDescent="0.3">
      <c r="B34" s="138"/>
      <c r="C34" s="138"/>
      <c r="D34" s="138"/>
      <c r="E34" s="146"/>
    </row>
  </sheetData>
  <mergeCells count="2">
    <mergeCell ref="A2:H2"/>
    <mergeCell ref="A3:H3"/>
  </mergeCells>
  <pageMargins left="0.27" right="0.15" top="0.15748031496062992" bottom="0.15748031496062992" header="0.15748031496062992" footer="0.1574803149606299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16" workbookViewId="0">
      <selection activeCell="B16" sqref="B16"/>
    </sheetView>
  </sheetViews>
  <sheetFormatPr defaultRowHeight="18.75" x14ac:dyDescent="0.3"/>
  <cols>
    <col min="1" max="1" width="7" style="1" customWidth="1"/>
    <col min="2" max="2" width="45.5703125" style="1" customWidth="1"/>
    <col min="3" max="3" width="20.42578125" style="8" customWidth="1"/>
    <col min="4" max="4" width="16.5703125" style="1" customWidth="1"/>
    <col min="5" max="16384" width="9.140625" style="1"/>
  </cols>
  <sheetData>
    <row r="1" spans="1:4" x14ac:dyDescent="0.3">
      <c r="A1" s="451" t="s">
        <v>2945</v>
      </c>
      <c r="B1" s="451"/>
      <c r="C1" s="451"/>
      <c r="D1" s="451"/>
    </row>
    <row r="2" spans="1:4" x14ac:dyDescent="0.3">
      <c r="A2" s="451" t="s">
        <v>2922</v>
      </c>
      <c r="B2" s="451"/>
      <c r="C2" s="451"/>
      <c r="D2" s="451"/>
    </row>
    <row r="3" spans="1:4" x14ac:dyDescent="0.3">
      <c r="A3" s="101" t="s">
        <v>14</v>
      </c>
      <c r="B3" s="63"/>
      <c r="C3" s="444"/>
      <c r="D3" s="77"/>
    </row>
    <row r="4" spans="1:4" x14ac:dyDescent="0.3">
      <c r="A4" s="102" t="s">
        <v>2946</v>
      </c>
      <c r="B4" s="65" t="s">
        <v>4</v>
      </c>
      <c r="C4" s="445" t="s">
        <v>2947</v>
      </c>
      <c r="D4" s="104" t="s">
        <v>3</v>
      </c>
    </row>
    <row r="5" spans="1:4" x14ac:dyDescent="0.3">
      <c r="A5" s="105"/>
      <c r="B5" s="68"/>
      <c r="C5" s="446"/>
      <c r="D5" s="107" t="s">
        <v>17</v>
      </c>
    </row>
    <row r="6" spans="1:4" x14ac:dyDescent="0.3">
      <c r="A6" s="89">
        <v>1</v>
      </c>
      <c r="B6" s="218" t="s">
        <v>134</v>
      </c>
      <c r="C6" s="267">
        <v>766925.64</v>
      </c>
      <c r="D6" s="75" t="s">
        <v>171</v>
      </c>
    </row>
    <row r="7" spans="1:4" x14ac:dyDescent="0.3">
      <c r="A7" s="89">
        <v>2</v>
      </c>
      <c r="B7" s="219" t="s">
        <v>2948</v>
      </c>
      <c r="C7" s="28">
        <f>33.64+71.36+52690.48+1062900</f>
        <v>1115695.48</v>
      </c>
      <c r="D7" s="150" t="s">
        <v>2967</v>
      </c>
    </row>
    <row r="8" spans="1:4" x14ac:dyDescent="0.3">
      <c r="A8" s="89">
        <v>3</v>
      </c>
      <c r="B8" s="219" t="s">
        <v>732</v>
      </c>
      <c r="C8" s="28">
        <v>15225</v>
      </c>
      <c r="D8" s="150" t="s">
        <v>2967</v>
      </c>
    </row>
    <row r="9" spans="1:4" x14ac:dyDescent="0.3">
      <c r="A9" s="89">
        <v>4</v>
      </c>
      <c r="B9" s="219" t="s">
        <v>2949</v>
      </c>
      <c r="C9" s="28">
        <v>31500</v>
      </c>
      <c r="D9" s="150" t="s">
        <v>2967</v>
      </c>
    </row>
    <row r="10" spans="1:4" x14ac:dyDescent="0.3">
      <c r="A10" s="89">
        <v>5</v>
      </c>
      <c r="B10" s="219" t="s">
        <v>2952</v>
      </c>
      <c r="C10" s="28">
        <f>275193.73+9450-7624.34</f>
        <v>277019.38999999996</v>
      </c>
      <c r="D10" s="150" t="s">
        <v>2967</v>
      </c>
    </row>
    <row r="11" spans="1:4" x14ac:dyDescent="0.3">
      <c r="A11" s="89">
        <v>6</v>
      </c>
      <c r="B11" s="219" t="s">
        <v>2950</v>
      </c>
      <c r="C11" s="28">
        <v>950</v>
      </c>
      <c r="D11" s="150" t="s">
        <v>2967</v>
      </c>
    </row>
    <row r="12" spans="1:4" x14ac:dyDescent="0.3">
      <c r="A12" s="89">
        <v>7</v>
      </c>
      <c r="B12" s="219" t="s">
        <v>2951</v>
      </c>
      <c r="C12" s="28">
        <v>378000</v>
      </c>
      <c r="D12" s="150" t="s">
        <v>2967</v>
      </c>
    </row>
    <row r="13" spans="1:4" x14ac:dyDescent="0.3">
      <c r="A13" s="89">
        <v>8</v>
      </c>
      <c r="B13" s="219" t="s">
        <v>2953</v>
      </c>
      <c r="C13" s="28">
        <v>18900</v>
      </c>
      <c r="D13" s="150" t="s">
        <v>2967</v>
      </c>
    </row>
    <row r="14" spans="1:4" x14ac:dyDescent="0.3">
      <c r="A14" s="89">
        <v>9</v>
      </c>
      <c r="B14" s="219" t="s">
        <v>2955</v>
      </c>
      <c r="C14" s="28">
        <f>2915+20584</f>
        <v>23499</v>
      </c>
      <c r="D14" s="150" t="s">
        <v>2967</v>
      </c>
    </row>
    <row r="15" spans="1:4" x14ac:dyDescent="0.3">
      <c r="A15" s="89">
        <v>10</v>
      </c>
      <c r="B15" s="219" t="s">
        <v>2954</v>
      </c>
      <c r="C15" s="28">
        <v>567.34</v>
      </c>
      <c r="D15" s="150" t="s">
        <v>2967</v>
      </c>
    </row>
    <row r="16" spans="1:4" x14ac:dyDescent="0.3">
      <c r="A16" s="89">
        <v>11</v>
      </c>
      <c r="B16" s="219" t="s">
        <v>2956</v>
      </c>
      <c r="C16" s="28">
        <v>356436</v>
      </c>
      <c r="D16" s="269" t="s">
        <v>2957</v>
      </c>
    </row>
    <row r="17" spans="1:4" x14ac:dyDescent="0.3">
      <c r="A17" s="89">
        <v>12</v>
      </c>
      <c r="B17" s="219" t="s">
        <v>2965</v>
      </c>
      <c r="C17" s="28">
        <v>45100</v>
      </c>
      <c r="D17" s="269" t="s">
        <v>1199</v>
      </c>
    </row>
    <row r="18" spans="1:4" x14ac:dyDescent="0.3">
      <c r="A18" s="89">
        <v>13</v>
      </c>
      <c r="B18" s="219" t="s">
        <v>2296</v>
      </c>
      <c r="C18" s="28">
        <v>101800</v>
      </c>
      <c r="D18" s="269" t="s">
        <v>37</v>
      </c>
    </row>
    <row r="19" spans="1:4" x14ac:dyDescent="0.3">
      <c r="A19" s="89">
        <v>14</v>
      </c>
      <c r="B19" s="219" t="s">
        <v>2958</v>
      </c>
      <c r="C19" s="28">
        <v>6428</v>
      </c>
      <c r="D19" s="269" t="s">
        <v>768</v>
      </c>
    </row>
    <row r="20" spans="1:4" x14ac:dyDescent="0.3">
      <c r="A20" s="89">
        <v>15</v>
      </c>
      <c r="B20" s="218" t="s">
        <v>770</v>
      </c>
      <c r="C20" s="28">
        <v>92625</v>
      </c>
      <c r="D20" s="269" t="s">
        <v>37</v>
      </c>
    </row>
    <row r="21" spans="1:4" x14ac:dyDescent="0.3">
      <c r="A21" s="89">
        <v>16</v>
      </c>
      <c r="B21" s="219" t="s">
        <v>2959</v>
      </c>
      <c r="C21" s="28">
        <v>2747</v>
      </c>
      <c r="D21" s="269" t="s">
        <v>1199</v>
      </c>
    </row>
    <row r="22" spans="1:4" x14ac:dyDescent="0.3">
      <c r="A22" s="89">
        <v>17</v>
      </c>
      <c r="B22" s="219" t="s">
        <v>2960</v>
      </c>
      <c r="C22" s="28">
        <v>2546</v>
      </c>
      <c r="D22" s="269" t="s">
        <v>321</v>
      </c>
    </row>
    <row r="23" spans="1:4" x14ac:dyDescent="0.3">
      <c r="A23" s="89">
        <v>18</v>
      </c>
      <c r="B23" s="219" t="s">
        <v>2961</v>
      </c>
      <c r="C23" s="28">
        <v>700</v>
      </c>
      <c r="D23" s="269" t="s">
        <v>1117</v>
      </c>
    </row>
    <row r="24" spans="1:4" x14ac:dyDescent="0.3">
      <c r="A24" s="89">
        <v>19</v>
      </c>
      <c r="B24" s="219" t="s">
        <v>2962</v>
      </c>
      <c r="C24" s="28">
        <v>3629</v>
      </c>
      <c r="D24" s="269" t="s">
        <v>321</v>
      </c>
    </row>
    <row r="25" spans="1:4" x14ac:dyDescent="0.3">
      <c r="A25" s="89">
        <v>20</v>
      </c>
      <c r="B25" s="218" t="s">
        <v>2472</v>
      </c>
      <c r="C25" s="267">
        <v>1589</v>
      </c>
      <c r="D25" s="75" t="s">
        <v>1247</v>
      </c>
    </row>
    <row r="26" spans="1:4" x14ac:dyDescent="0.3">
      <c r="A26" s="89">
        <v>21</v>
      </c>
      <c r="B26" s="219" t="s">
        <v>2963</v>
      </c>
      <c r="C26" s="437">
        <v>887277.12</v>
      </c>
      <c r="D26" s="269" t="s">
        <v>131</v>
      </c>
    </row>
    <row r="27" spans="1:4" x14ac:dyDescent="0.3">
      <c r="A27" s="89">
        <v>22</v>
      </c>
      <c r="B27" s="219" t="s">
        <v>2964</v>
      </c>
      <c r="C27" s="437">
        <v>57350</v>
      </c>
      <c r="D27" s="269" t="s">
        <v>131</v>
      </c>
    </row>
    <row r="28" spans="1:4" x14ac:dyDescent="0.3">
      <c r="A28" s="89">
        <v>23</v>
      </c>
      <c r="B28" s="219" t="s">
        <v>2966</v>
      </c>
      <c r="C28" s="437">
        <v>138835</v>
      </c>
      <c r="D28" s="269" t="s">
        <v>1199</v>
      </c>
    </row>
    <row r="29" spans="1:4" x14ac:dyDescent="0.3">
      <c r="A29" s="108"/>
      <c r="B29" s="219"/>
      <c r="C29" s="437"/>
      <c r="D29" s="269"/>
    </row>
    <row r="30" spans="1:4" x14ac:dyDescent="0.3">
      <c r="A30" s="108"/>
      <c r="B30" s="219"/>
      <c r="C30" s="437"/>
      <c r="D30" s="269"/>
    </row>
    <row r="31" spans="1:4" x14ac:dyDescent="0.3">
      <c r="A31" s="89"/>
      <c r="B31" s="219"/>
      <c r="C31" s="28"/>
      <c r="D31" s="269"/>
    </row>
    <row r="32" spans="1:4" x14ac:dyDescent="0.3">
      <c r="A32" s="114"/>
      <c r="B32" s="116"/>
      <c r="C32" s="346"/>
      <c r="D32" s="117"/>
    </row>
    <row r="33" spans="1:4" ht="19.5" thickBot="1" x14ac:dyDescent="0.35">
      <c r="A33" s="118"/>
      <c r="B33" s="120" t="s">
        <v>150</v>
      </c>
      <c r="C33" s="448">
        <f>SUM(C7:C32)</f>
        <v>3558418.33</v>
      </c>
      <c r="D33" s="447"/>
    </row>
    <row r="34" spans="1:4" ht="19.5" thickTop="1" x14ac:dyDescent="0.3"/>
    <row r="35" spans="1:4" x14ac:dyDescent="0.3">
      <c r="D35" s="50"/>
    </row>
  </sheetData>
  <mergeCells count="2">
    <mergeCell ref="A1:D1"/>
    <mergeCell ref="A2:D2"/>
  </mergeCells>
  <pageMargins left="0.35" right="0.3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activeCell="K18" sqref="K18:K31"/>
    </sheetView>
  </sheetViews>
  <sheetFormatPr defaultRowHeight="17.25" x14ac:dyDescent="0.3"/>
  <cols>
    <col min="1" max="1" width="8.140625" style="23" customWidth="1"/>
    <col min="2" max="2" width="7.85546875" style="78" bestFit="1" customWidth="1"/>
    <col min="3" max="3" width="33" style="78" customWidth="1"/>
    <col min="4" max="4" width="10.7109375" style="78" customWidth="1"/>
    <col min="5" max="5" width="11.140625" style="78" customWidth="1"/>
    <col min="6" max="6" width="8.140625" style="78" customWidth="1"/>
    <col min="7" max="7" width="10.85546875" style="78" customWidth="1"/>
    <col min="8" max="8" width="9.7109375" style="78" customWidth="1"/>
    <col min="9" max="9" width="9.85546875" style="137" bestFit="1" customWidth="1"/>
    <col min="10" max="10" width="9.140625" style="78"/>
    <col min="11" max="11" width="14" style="132" customWidth="1"/>
    <col min="12" max="12" width="11.85546875" style="78" customWidth="1"/>
    <col min="13" max="13" width="11.28515625" style="78" customWidth="1"/>
    <col min="14" max="14" width="11" style="78" customWidth="1"/>
    <col min="15" max="16384" width="9.140625" style="78"/>
  </cols>
  <sheetData>
    <row r="1" spans="1:12" x14ac:dyDescent="0.3">
      <c r="A1" s="453" t="s">
        <v>209</v>
      </c>
      <c r="B1" s="453"/>
      <c r="C1" s="453"/>
      <c r="D1" s="453"/>
      <c r="E1" s="453"/>
      <c r="F1" s="453"/>
      <c r="G1" s="453"/>
      <c r="H1" s="453"/>
    </row>
    <row r="2" spans="1:12" x14ac:dyDescent="0.3">
      <c r="A2" s="453" t="s">
        <v>2663</v>
      </c>
      <c r="B2" s="453"/>
      <c r="C2" s="453"/>
      <c r="D2" s="453"/>
      <c r="E2" s="453"/>
      <c r="F2" s="453"/>
      <c r="G2" s="453"/>
      <c r="H2" s="453"/>
    </row>
    <row r="3" spans="1:12" x14ac:dyDescent="0.3">
      <c r="A3" s="101" t="s">
        <v>127</v>
      </c>
      <c r="B3" s="77"/>
      <c r="C3" s="77"/>
      <c r="D3" s="77"/>
      <c r="E3" s="152"/>
      <c r="F3" s="77"/>
      <c r="G3" s="169" t="s">
        <v>5</v>
      </c>
      <c r="H3" s="169" t="s">
        <v>786</v>
      </c>
    </row>
    <row r="4" spans="1:12" x14ac:dyDescent="0.3">
      <c r="A4" s="178" t="s">
        <v>16</v>
      </c>
      <c r="B4" s="156" t="s">
        <v>12</v>
      </c>
      <c r="C4" s="81" t="s">
        <v>4</v>
      </c>
      <c r="D4" s="82" t="s">
        <v>15</v>
      </c>
      <c r="E4" s="82" t="s">
        <v>1</v>
      </c>
      <c r="F4" s="82" t="s">
        <v>34</v>
      </c>
      <c r="G4" s="83" t="s">
        <v>2</v>
      </c>
      <c r="H4" s="81" t="s">
        <v>3</v>
      </c>
    </row>
    <row r="5" spans="1:12" x14ac:dyDescent="0.3">
      <c r="A5" s="105"/>
      <c r="B5" s="84"/>
      <c r="C5" s="85"/>
      <c r="D5" s="86" t="s">
        <v>0</v>
      </c>
      <c r="E5" s="86"/>
      <c r="F5" s="86" t="s">
        <v>35</v>
      </c>
      <c r="G5" s="87"/>
      <c r="H5" s="158"/>
    </row>
    <row r="6" spans="1:12" x14ac:dyDescent="0.3">
      <c r="A6" s="179" t="s">
        <v>599</v>
      </c>
      <c r="B6" s="97" t="s">
        <v>788</v>
      </c>
      <c r="C6" s="188" t="s">
        <v>787</v>
      </c>
      <c r="D6" s="98">
        <v>12000</v>
      </c>
      <c r="E6" s="177"/>
      <c r="F6" s="134"/>
      <c r="G6" s="135">
        <v>12000</v>
      </c>
      <c r="H6" s="189" t="s">
        <v>321</v>
      </c>
    </row>
    <row r="7" spans="1:12" x14ac:dyDescent="0.3">
      <c r="A7" s="179" t="s">
        <v>816</v>
      </c>
      <c r="B7" s="97" t="s">
        <v>818</v>
      </c>
      <c r="C7" s="188" t="s">
        <v>817</v>
      </c>
      <c r="D7" s="98"/>
      <c r="E7" s="98">
        <v>9454</v>
      </c>
      <c r="F7" s="91"/>
      <c r="G7" s="387">
        <f>G6-E7</f>
        <v>2546</v>
      </c>
      <c r="H7" s="189"/>
    </row>
    <row r="8" spans="1:12" x14ac:dyDescent="0.3">
      <c r="A8" s="179"/>
      <c r="B8" s="90"/>
      <c r="C8" s="49"/>
      <c r="D8" s="93"/>
      <c r="E8" s="93"/>
      <c r="F8" s="93"/>
      <c r="G8" s="92"/>
      <c r="H8" s="94"/>
    </row>
    <row r="9" spans="1:12" x14ac:dyDescent="0.3">
      <c r="A9" s="179" t="s">
        <v>1114</v>
      </c>
      <c r="B9" s="90" t="s">
        <v>1115</v>
      </c>
      <c r="C9" s="49" t="s">
        <v>1116</v>
      </c>
      <c r="D9" s="93">
        <v>205000</v>
      </c>
      <c r="E9" s="93"/>
      <c r="F9" s="93"/>
      <c r="G9" s="211">
        <v>205000</v>
      </c>
      <c r="H9" s="75" t="s">
        <v>1117</v>
      </c>
      <c r="K9" s="139"/>
      <c r="L9" s="138"/>
    </row>
    <row r="10" spans="1:12" x14ac:dyDescent="0.3">
      <c r="A10" s="179" t="s">
        <v>1336</v>
      </c>
      <c r="B10" s="90" t="s">
        <v>1344</v>
      </c>
      <c r="C10" s="49" t="s">
        <v>677</v>
      </c>
      <c r="D10" s="93"/>
      <c r="E10" s="93">
        <v>341</v>
      </c>
      <c r="F10" s="134"/>
      <c r="G10" s="135">
        <f t="shared" ref="G10:G18" si="0">G9-E10-F10</f>
        <v>204659</v>
      </c>
      <c r="H10" s="189"/>
      <c r="K10" s="139"/>
      <c r="L10" s="138"/>
    </row>
    <row r="11" spans="1:12" x14ac:dyDescent="0.3">
      <c r="A11" s="179" t="s">
        <v>2517</v>
      </c>
      <c r="B11" s="90" t="s">
        <v>2528</v>
      </c>
      <c r="C11" s="49" t="s">
        <v>1578</v>
      </c>
      <c r="D11" s="93"/>
      <c r="E11" s="93">
        <v>1933</v>
      </c>
      <c r="F11" s="134"/>
      <c r="G11" s="135">
        <f t="shared" si="0"/>
        <v>202726</v>
      </c>
      <c r="H11" s="189"/>
      <c r="K11" s="139"/>
      <c r="L11" s="138"/>
    </row>
    <row r="12" spans="1:12" x14ac:dyDescent="0.3">
      <c r="A12" s="179" t="s">
        <v>1320</v>
      </c>
      <c r="B12" s="90" t="s">
        <v>908</v>
      </c>
      <c r="C12" s="49" t="s">
        <v>1365</v>
      </c>
      <c r="D12" s="93"/>
      <c r="E12" s="93">
        <v>54500</v>
      </c>
      <c r="F12" s="134"/>
      <c r="G12" s="135">
        <f t="shared" si="0"/>
        <v>148226</v>
      </c>
      <c r="H12" s="189"/>
      <c r="K12" s="139"/>
      <c r="L12" s="138"/>
    </row>
    <row r="13" spans="1:12" x14ac:dyDescent="0.3">
      <c r="A13" s="179" t="s">
        <v>1443</v>
      </c>
      <c r="B13" s="90" t="s">
        <v>1458</v>
      </c>
      <c r="C13" s="49" t="s">
        <v>577</v>
      </c>
      <c r="D13" s="93"/>
      <c r="E13" s="93">
        <v>1430</v>
      </c>
      <c r="F13" s="134"/>
      <c r="G13" s="135">
        <f t="shared" si="0"/>
        <v>146796</v>
      </c>
      <c r="H13" s="189"/>
      <c r="K13" s="139"/>
      <c r="L13" s="138"/>
    </row>
    <row r="14" spans="1:12" x14ac:dyDescent="0.3">
      <c r="A14" s="179" t="s">
        <v>1481</v>
      </c>
      <c r="B14" s="90" t="s">
        <v>1487</v>
      </c>
      <c r="C14" s="49" t="s">
        <v>677</v>
      </c>
      <c r="D14" s="93"/>
      <c r="E14" s="93">
        <v>16900</v>
      </c>
      <c r="F14" s="134"/>
      <c r="G14" s="135">
        <f t="shared" si="0"/>
        <v>129896</v>
      </c>
      <c r="H14" s="189"/>
      <c r="K14" s="139"/>
      <c r="L14" s="138"/>
    </row>
    <row r="15" spans="1:12" x14ac:dyDescent="0.3">
      <c r="A15" s="179"/>
      <c r="B15" s="90" t="s">
        <v>1489</v>
      </c>
      <c r="C15" s="49" t="s">
        <v>330</v>
      </c>
      <c r="D15" s="93"/>
      <c r="E15" s="303">
        <v>200</v>
      </c>
      <c r="F15" s="134"/>
      <c r="G15" s="135">
        <f t="shared" si="0"/>
        <v>129696</v>
      </c>
      <c r="H15" s="189"/>
      <c r="K15" s="139"/>
      <c r="L15" s="138"/>
    </row>
    <row r="16" spans="1:12" x14ac:dyDescent="0.3">
      <c r="A16" s="179" t="s">
        <v>1524</v>
      </c>
      <c r="B16" s="90" t="s">
        <v>1551</v>
      </c>
      <c r="C16" s="49" t="s">
        <v>1365</v>
      </c>
      <c r="D16" s="93"/>
      <c r="E16" s="93">
        <v>68100</v>
      </c>
      <c r="F16" s="134"/>
      <c r="G16" s="135">
        <f t="shared" si="0"/>
        <v>61596</v>
      </c>
      <c r="H16" s="189"/>
      <c r="K16" s="139"/>
      <c r="L16" s="138"/>
    </row>
    <row r="17" spans="1:12" x14ac:dyDescent="0.3">
      <c r="A17" s="179" t="s">
        <v>1568</v>
      </c>
      <c r="B17" s="90" t="s">
        <v>1569</v>
      </c>
      <c r="C17" s="49" t="s">
        <v>1570</v>
      </c>
      <c r="D17" s="93"/>
      <c r="E17" s="93">
        <v>21920</v>
      </c>
      <c r="F17" s="134"/>
      <c r="G17" s="135">
        <f t="shared" si="0"/>
        <v>39676</v>
      </c>
      <c r="H17" s="189"/>
      <c r="K17" s="139"/>
      <c r="L17" s="138"/>
    </row>
    <row r="18" spans="1:12" x14ac:dyDescent="0.3">
      <c r="A18" s="179" t="s">
        <v>1656</v>
      </c>
      <c r="B18" s="90" t="s">
        <v>1658</v>
      </c>
      <c r="C18" s="49" t="s">
        <v>1170</v>
      </c>
      <c r="D18" s="93"/>
      <c r="E18" s="93">
        <v>2224</v>
      </c>
      <c r="F18" s="134"/>
      <c r="G18" s="135">
        <f t="shared" si="0"/>
        <v>37452</v>
      </c>
      <c r="H18" s="189"/>
      <c r="K18" s="139"/>
      <c r="L18" s="138"/>
    </row>
    <row r="19" spans="1:12" x14ac:dyDescent="0.3">
      <c r="A19" s="179" t="s">
        <v>2015</v>
      </c>
      <c r="B19" s="90" t="s">
        <v>2048</v>
      </c>
      <c r="C19" s="49" t="s">
        <v>2009</v>
      </c>
      <c r="D19" s="93"/>
      <c r="E19" s="93">
        <v>4208</v>
      </c>
      <c r="F19" s="134"/>
      <c r="G19" s="135">
        <f>G18-E19-F19</f>
        <v>33244</v>
      </c>
      <c r="H19" s="189"/>
      <c r="K19" s="139"/>
      <c r="L19" s="138"/>
    </row>
    <row r="20" spans="1:12" x14ac:dyDescent="0.3">
      <c r="A20" s="179" t="s">
        <v>2807</v>
      </c>
      <c r="B20" s="90" t="s">
        <v>2848</v>
      </c>
      <c r="C20" s="49" t="s">
        <v>2011</v>
      </c>
      <c r="D20" s="93"/>
      <c r="E20" s="93">
        <v>4000</v>
      </c>
      <c r="F20" s="134"/>
      <c r="G20" s="135">
        <f t="shared" ref="G20:G23" si="1">G19-E20-F20</f>
        <v>29244</v>
      </c>
      <c r="H20" s="189"/>
      <c r="K20" s="139"/>
      <c r="L20" s="138"/>
    </row>
    <row r="21" spans="1:12" x14ac:dyDescent="0.3">
      <c r="A21" s="179" t="s">
        <v>2221</v>
      </c>
      <c r="B21" s="97" t="s">
        <v>2244</v>
      </c>
      <c r="C21" s="76" t="s">
        <v>2012</v>
      </c>
      <c r="D21" s="93"/>
      <c r="E21" s="93">
        <v>5650</v>
      </c>
      <c r="F21" s="134"/>
      <c r="G21" s="135">
        <f t="shared" si="1"/>
        <v>23594</v>
      </c>
      <c r="H21" s="189"/>
      <c r="K21" s="139"/>
      <c r="L21" s="138"/>
    </row>
    <row r="22" spans="1:12" x14ac:dyDescent="0.3">
      <c r="A22" s="179" t="s">
        <v>2641</v>
      </c>
      <c r="B22" s="179" t="s">
        <v>2657</v>
      </c>
      <c r="C22" s="76" t="s">
        <v>2351</v>
      </c>
      <c r="D22" s="93"/>
      <c r="E22" s="93">
        <v>360</v>
      </c>
      <c r="F22" s="134"/>
      <c r="G22" s="135">
        <f t="shared" si="1"/>
        <v>23234</v>
      </c>
      <c r="H22" s="189"/>
      <c r="K22" s="139"/>
      <c r="L22" s="138"/>
    </row>
    <row r="23" spans="1:12" x14ac:dyDescent="0.3">
      <c r="A23" s="179" t="s">
        <v>2641</v>
      </c>
      <c r="B23" s="97" t="s">
        <v>2645</v>
      </c>
      <c r="C23" s="76" t="s">
        <v>2369</v>
      </c>
      <c r="D23" s="93"/>
      <c r="E23" s="93">
        <v>22100</v>
      </c>
      <c r="F23" s="134"/>
      <c r="G23" s="135">
        <f t="shared" si="1"/>
        <v>1134</v>
      </c>
      <c r="H23" s="189"/>
      <c r="K23" s="139"/>
      <c r="L23" s="138"/>
    </row>
    <row r="24" spans="1:12" x14ac:dyDescent="0.3">
      <c r="A24" s="179" t="s">
        <v>1989</v>
      </c>
      <c r="B24" s="97" t="s">
        <v>1990</v>
      </c>
      <c r="C24" s="188" t="s">
        <v>1991</v>
      </c>
      <c r="D24" s="98">
        <v>10400</v>
      </c>
      <c r="E24" s="98"/>
      <c r="F24" s="134"/>
      <c r="G24" s="135">
        <f>G23+D24</f>
        <v>11534</v>
      </c>
      <c r="H24" s="75" t="s">
        <v>1117</v>
      </c>
      <c r="K24" s="139"/>
      <c r="L24" s="138"/>
    </row>
    <row r="25" spans="1:12" ht="18.75" x14ac:dyDescent="0.3">
      <c r="A25" s="179" t="s">
        <v>2540</v>
      </c>
      <c r="B25" s="97" t="s">
        <v>2565</v>
      </c>
      <c r="C25" s="188" t="s">
        <v>1893</v>
      </c>
      <c r="D25" s="98"/>
      <c r="E25" s="98">
        <v>10234</v>
      </c>
      <c r="F25" s="134"/>
      <c r="G25" s="262">
        <f>G24-E25-F25</f>
        <v>1300</v>
      </c>
      <c r="H25" s="269"/>
      <c r="K25" s="139"/>
      <c r="L25" s="138"/>
    </row>
    <row r="26" spans="1:12" ht="18.75" x14ac:dyDescent="0.3">
      <c r="A26" s="179" t="s">
        <v>2517</v>
      </c>
      <c r="B26" s="90" t="s">
        <v>2529</v>
      </c>
      <c r="C26" s="49" t="s">
        <v>1170</v>
      </c>
      <c r="D26" s="93"/>
      <c r="E26" s="93">
        <v>600</v>
      </c>
      <c r="F26" s="134"/>
      <c r="G26" s="262">
        <f>G25-E26-F26</f>
        <v>700</v>
      </c>
      <c r="H26" s="189"/>
      <c r="K26" s="139"/>
      <c r="L26" s="138"/>
    </row>
    <row r="27" spans="1:12" x14ac:dyDescent="0.3">
      <c r="A27" s="179"/>
      <c r="B27" s="90"/>
      <c r="C27" s="188"/>
      <c r="D27" s="93"/>
      <c r="E27" s="93"/>
      <c r="F27" s="134"/>
      <c r="G27" s="135"/>
      <c r="H27" s="189"/>
      <c r="K27" s="139"/>
      <c r="L27" s="138"/>
    </row>
    <row r="28" spans="1:12" x14ac:dyDescent="0.3">
      <c r="A28" s="179" t="s">
        <v>1128</v>
      </c>
      <c r="B28" s="90" t="s">
        <v>1144</v>
      </c>
      <c r="C28" s="49" t="s">
        <v>1305</v>
      </c>
      <c r="D28" s="93">
        <v>210000</v>
      </c>
      <c r="E28" s="93"/>
      <c r="F28" s="134"/>
      <c r="G28" s="135">
        <v>210000</v>
      </c>
      <c r="H28" s="189" t="s">
        <v>321</v>
      </c>
      <c r="K28" s="139"/>
      <c r="L28" s="138"/>
    </row>
    <row r="29" spans="1:12" x14ac:dyDescent="0.3">
      <c r="A29" s="179" t="s">
        <v>1392</v>
      </c>
      <c r="B29" s="97" t="s">
        <v>1399</v>
      </c>
      <c r="C29" s="76" t="s">
        <v>817</v>
      </c>
      <c r="D29" s="98"/>
      <c r="E29" s="98">
        <v>120980</v>
      </c>
      <c r="F29" s="134"/>
      <c r="G29" s="135">
        <f t="shared" ref="G29:G36" si="2">G28-E29</f>
        <v>89020</v>
      </c>
      <c r="H29" s="189"/>
      <c r="K29" s="139"/>
      <c r="L29" s="138"/>
    </row>
    <row r="30" spans="1:12" x14ac:dyDescent="0.3">
      <c r="A30" s="179" t="s">
        <v>1430</v>
      </c>
      <c r="B30" s="97" t="s">
        <v>1431</v>
      </c>
      <c r="C30" s="76" t="s">
        <v>1432</v>
      </c>
      <c r="D30" s="98"/>
      <c r="E30" s="98">
        <v>40000</v>
      </c>
      <c r="F30" s="134"/>
      <c r="G30" s="135">
        <f t="shared" si="2"/>
        <v>49020</v>
      </c>
      <c r="H30" s="189"/>
      <c r="K30" s="139"/>
      <c r="L30" s="138"/>
    </row>
    <row r="31" spans="1:12" x14ac:dyDescent="0.3">
      <c r="A31" s="179" t="s">
        <v>1481</v>
      </c>
      <c r="B31" s="97" t="s">
        <v>1488</v>
      </c>
      <c r="C31" s="76" t="s">
        <v>677</v>
      </c>
      <c r="D31" s="98"/>
      <c r="E31" s="98">
        <v>470</v>
      </c>
      <c r="F31" s="91"/>
      <c r="G31" s="135">
        <f t="shared" si="2"/>
        <v>48550</v>
      </c>
      <c r="H31" s="189"/>
      <c r="K31" s="139"/>
      <c r="L31" s="138"/>
    </row>
    <row r="32" spans="1:12" x14ac:dyDescent="0.3">
      <c r="A32" s="179" t="s">
        <v>1568</v>
      </c>
      <c r="B32" s="97" t="s">
        <v>1579</v>
      </c>
      <c r="C32" s="188" t="s">
        <v>577</v>
      </c>
      <c r="D32" s="98"/>
      <c r="E32" s="98">
        <v>725</v>
      </c>
      <c r="F32" s="134"/>
      <c r="G32" s="135">
        <f t="shared" si="2"/>
        <v>47825</v>
      </c>
      <c r="H32" s="189"/>
      <c r="K32" s="139"/>
      <c r="L32" s="138"/>
    </row>
    <row r="33" spans="1:15" x14ac:dyDescent="0.3">
      <c r="A33" s="179" t="s">
        <v>1701</v>
      </c>
      <c r="B33" s="97" t="s">
        <v>1717</v>
      </c>
      <c r="C33" s="188" t="s">
        <v>1718</v>
      </c>
      <c r="D33" s="98"/>
      <c r="E33" s="98">
        <v>3800</v>
      </c>
      <c r="F33" s="134"/>
      <c r="G33" s="135">
        <f t="shared" si="2"/>
        <v>44025</v>
      </c>
      <c r="H33" s="189"/>
      <c r="K33" s="139"/>
      <c r="L33" s="138"/>
    </row>
    <row r="34" spans="1:15" x14ac:dyDescent="0.3">
      <c r="A34" s="179"/>
      <c r="B34" s="97" t="s">
        <v>1720</v>
      </c>
      <c r="C34" s="188" t="s">
        <v>1719</v>
      </c>
      <c r="D34" s="98"/>
      <c r="E34" s="98">
        <v>3575</v>
      </c>
      <c r="F34" s="134"/>
      <c r="G34" s="135">
        <f t="shared" si="2"/>
        <v>40450</v>
      </c>
      <c r="H34" s="189"/>
      <c r="K34" s="139"/>
      <c r="L34" s="138"/>
    </row>
    <row r="35" spans="1:15" x14ac:dyDescent="0.3">
      <c r="A35" s="179" t="s">
        <v>1966</v>
      </c>
      <c r="B35" s="97" t="s">
        <v>1967</v>
      </c>
      <c r="C35" s="188" t="s">
        <v>817</v>
      </c>
      <c r="D35" s="98"/>
      <c r="E35" s="98">
        <v>8390</v>
      </c>
      <c r="F35" s="134"/>
      <c r="G35" s="135">
        <f t="shared" si="2"/>
        <v>32060</v>
      </c>
      <c r="H35" s="189"/>
      <c r="K35" s="139"/>
      <c r="L35" s="138"/>
    </row>
    <row r="36" spans="1:15" x14ac:dyDescent="0.3">
      <c r="A36" s="179" t="s">
        <v>2083</v>
      </c>
      <c r="B36" s="97" t="s">
        <v>2090</v>
      </c>
      <c r="C36" s="188" t="s">
        <v>2026</v>
      </c>
      <c r="D36" s="98"/>
      <c r="E36" s="98">
        <v>200</v>
      </c>
      <c r="F36" s="134"/>
      <c r="G36" s="135">
        <f t="shared" si="2"/>
        <v>31860</v>
      </c>
      <c r="H36" s="189"/>
      <c r="K36" s="139"/>
      <c r="L36" s="138"/>
    </row>
    <row r="37" spans="1:15" x14ac:dyDescent="0.3">
      <c r="A37" s="179" t="s">
        <v>2215</v>
      </c>
      <c r="B37" s="97" t="s">
        <v>2247</v>
      </c>
      <c r="C37" s="188" t="s">
        <v>822</v>
      </c>
      <c r="D37" s="98"/>
      <c r="E37" s="98">
        <v>1431</v>
      </c>
      <c r="F37" s="134"/>
      <c r="G37" s="135">
        <f>G36-E37-F37</f>
        <v>30429</v>
      </c>
      <c r="H37" s="75"/>
      <c r="K37" s="139"/>
      <c r="L37" s="138"/>
    </row>
    <row r="38" spans="1:15" x14ac:dyDescent="0.3">
      <c r="A38" s="179" t="s">
        <v>2136</v>
      </c>
      <c r="B38" s="97" t="s">
        <v>2509</v>
      </c>
      <c r="C38" s="188" t="s">
        <v>2135</v>
      </c>
      <c r="D38" s="98"/>
      <c r="E38" s="98">
        <v>1500</v>
      </c>
      <c r="F38" s="134"/>
      <c r="G38" s="388">
        <f>G37-E38-F38</f>
        <v>28929</v>
      </c>
      <c r="H38" s="269"/>
      <c r="K38" s="139"/>
      <c r="L38" s="138"/>
    </row>
    <row r="39" spans="1:15" x14ac:dyDescent="0.3">
      <c r="A39" s="179" t="s">
        <v>2641</v>
      </c>
      <c r="B39" s="97" t="s">
        <v>2680</v>
      </c>
      <c r="C39" s="188" t="s">
        <v>2352</v>
      </c>
      <c r="D39" s="98"/>
      <c r="E39" s="98">
        <v>24000</v>
      </c>
      <c r="F39" s="134"/>
      <c r="G39" s="388">
        <f>G38-E39-F39</f>
        <v>4929</v>
      </c>
      <c r="H39" s="269"/>
      <c r="K39" s="139"/>
      <c r="L39" s="138"/>
    </row>
    <row r="40" spans="1:15" x14ac:dyDescent="0.3">
      <c r="A40" s="179" t="s">
        <v>2420</v>
      </c>
      <c r="B40" s="97" t="s">
        <v>2441</v>
      </c>
      <c r="C40" s="188" t="s">
        <v>2362</v>
      </c>
      <c r="D40" s="98"/>
      <c r="E40" s="98">
        <v>2600</v>
      </c>
      <c r="F40" s="134"/>
      <c r="G40" s="402">
        <f>G39-E40-F40</f>
        <v>2329</v>
      </c>
      <c r="H40" s="269"/>
      <c r="K40" s="139"/>
      <c r="L40" s="138"/>
    </row>
    <row r="41" spans="1:15" x14ac:dyDescent="0.3">
      <c r="A41" s="179"/>
      <c r="B41" s="97"/>
      <c r="C41" s="188" t="s">
        <v>2793</v>
      </c>
      <c r="D41" s="98"/>
      <c r="E41" s="98">
        <v>-1300</v>
      </c>
      <c r="F41" s="134"/>
      <c r="G41" s="402">
        <f>G40-E41-F41</f>
        <v>3629</v>
      </c>
      <c r="H41" s="269"/>
      <c r="K41" s="139"/>
      <c r="L41" s="138"/>
    </row>
    <row r="42" spans="1:15" x14ac:dyDescent="0.3">
      <c r="A42" s="179"/>
      <c r="B42" s="97"/>
      <c r="C42" s="187"/>
      <c r="D42" s="134"/>
      <c r="E42" s="91"/>
      <c r="F42" s="91"/>
      <c r="G42" s="135"/>
      <c r="H42" s="150"/>
      <c r="K42" s="139"/>
      <c r="L42" s="138"/>
    </row>
    <row r="43" spans="1:15" ht="18" thickBot="1" x14ac:dyDescent="0.35">
      <c r="A43" s="108"/>
      <c r="B43" s="143"/>
      <c r="C43" s="131" t="s">
        <v>107</v>
      </c>
      <c r="D43" s="170">
        <f>SUM(D6:D42)</f>
        <v>437400</v>
      </c>
      <c r="E43" s="170">
        <f>SUM(E6:E42)</f>
        <v>430525</v>
      </c>
      <c r="F43" s="170">
        <f>SUM(F6:F42)</f>
        <v>0</v>
      </c>
      <c r="G43" s="161">
        <f>D43-E43-F43</f>
        <v>6875</v>
      </c>
      <c r="H43" s="94"/>
      <c r="K43" s="139"/>
      <c r="L43" s="138"/>
    </row>
    <row r="44" spans="1:15" ht="18" thickTop="1" x14ac:dyDescent="0.3">
      <c r="D44" s="137"/>
      <c r="F44" s="176"/>
      <c r="G44" s="199"/>
      <c r="J44" s="155"/>
      <c r="K44" s="139"/>
      <c r="L44" s="138"/>
    </row>
    <row r="45" spans="1:15" x14ac:dyDescent="0.3">
      <c r="D45" s="137"/>
      <c r="E45" s="132"/>
      <c r="F45" s="164"/>
      <c r="G45" s="132"/>
      <c r="J45" s="155"/>
    </row>
    <row r="46" spans="1:15" x14ac:dyDescent="0.3">
      <c r="D46" s="137"/>
      <c r="E46" s="132"/>
      <c r="G46" s="132"/>
      <c r="J46" s="132"/>
      <c r="M46" s="132"/>
    </row>
    <row r="47" spans="1:15" x14ac:dyDescent="0.3">
      <c r="C47" s="164"/>
      <c r="E47" s="132"/>
      <c r="G47" s="164"/>
      <c r="M47" s="132"/>
    </row>
    <row r="48" spans="1:15" x14ac:dyDescent="0.3">
      <c r="C48" s="164"/>
      <c r="E48" s="164"/>
      <c r="G48" s="164"/>
      <c r="M48" s="164"/>
      <c r="O48" s="164"/>
    </row>
    <row r="49" spans="2:15" x14ac:dyDescent="0.3">
      <c r="E49" s="139"/>
      <c r="F49" s="132"/>
      <c r="G49" s="164"/>
      <c r="M49" s="132"/>
      <c r="N49" s="132"/>
      <c r="O49" s="164"/>
    </row>
    <row r="50" spans="2:15" x14ac:dyDescent="0.3">
      <c r="B50" s="138"/>
      <c r="C50" s="146"/>
      <c r="D50" s="171"/>
      <c r="E50" s="172"/>
      <c r="G50" s="173"/>
      <c r="O50" s="173"/>
    </row>
    <row r="51" spans="2:15" x14ac:dyDescent="0.3">
      <c r="B51" s="138"/>
      <c r="C51" s="138"/>
      <c r="D51" s="140"/>
      <c r="E51" s="139"/>
    </row>
    <row r="52" spans="2:15" x14ac:dyDescent="0.3">
      <c r="B52" s="138"/>
      <c r="C52" s="138"/>
      <c r="D52" s="140"/>
      <c r="E52" s="139"/>
      <c r="G52" s="132"/>
      <c r="O52" s="132"/>
    </row>
    <row r="53" spans="2:15" x14ac:dyDescent="0.3">
      <c r="B53" s="138"/>
      <c r="C53" s="138"/>
      <c r="D53" s="140"/>
      <c r="E53" s="139"/>
      <c r="G53" s="132"/>
    </row>
    <row r="54" spans="2:15" x14ac:dyDescent="0.3">
      <c r="B54" s="138"/>
      <c r="C54" s="138"/>
      <c r="D54" s="174"/>
      <c r="E54" s="146"/>
    </row>
    <row r="55" spans="2:15" x14ac:dyDescent="0.3">
      <c r="B55" s="138"/>
      <c r="C55" s="138"/>
      <c r="D55" s="138"/>
      <c r="E55" s="139"/>
    </row>
    <row r="56" spans="2:15" x14ac:dyDescent="0.3">
      <c r="B56" s="138"/>
      <c r="C56" s="138"/>
      <c r="D56" s="138"/>
      <c r="E56" s="146"/>
    </row>
  </sheetData>
  <mergeCells count="2">
    <mergeCell ref="A1:H1"/>
    <mergeCell ref="A2:H2"/>
  </mergeCells>
  <pageMargins left="0.27" right="0.15" top="0.15748031496062992" bottom="0.15748031496062992" header="0.15748031496062992" footer="0.15748031496062992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selection activeCell="D7" sqref="D7"/>
    </sheetView>
  </sheetViews>
  <sheetFormatPr defaultRowHeight="17.25" x14ac:dyDescent="0.3"/>
  <cols>
    <col min="1" max="1" width="8.140625" style="23" customWidth="1"/>
    <col min="2" max="2" width="7.85546875" style="78" bestFit="1" customWidth="1"/>
    <col min="3" max="3" width="33" style="78" customWidth="1"/>
    <col min="4" max="4" width="10.7109375" style="78" customWidth="1"/>
    <col min="5" max="5" width="11.140625" style="78" customWidth="1"/>
    <col min="6" max="6" width="8.140625" style="78" customWidth="1"/>
    <col min="7" max="7" width="10.85546875" style="78" customWidth="1"/>
    <col min="8" max="8" width="9.7109375" style="78" customWidth="1"/>
    <col min="9" max="9" width="9.85546875" style="137" bestFit="1" customWidth="1"/>
    <col min="10" max="10" width="9.140625" style="78"/>
    <col min="11" max="11" width="14" style="132" customWidth="1"/>
    <col min="12" max="12" width="11.85546875" style="78" customWidth="1"/>
    <col min="13" max="13" width="11.28515625" style="78" customWidth="1"/>
    <col min="14" max="14" width="11" style="78" customWidth="1"/>
    <col min="15" max="16384" width="9.140625" style="78"/>
  </cols>
  <sheetData>
    <row r="1" spans="1:12" x14ac:dyDescent="0.3">
      <c r="A1" s="453" t="s">
        <v>209</v>
      </c>
      <c r="B1" s="453"/>
      <c r="C1" s="453"/>
      <c r="D1" s="453"/>
      <c r="E1" s="453"/>
      <c r="F1" s="453"/>
      <c r="G1" s="453"/>
      <c r="H1" s="453"/>
    </row>
    <row r="2" spans="1:12" x14ac:dyDescent="0.3">
      <c r="A2" s="453" t="s">
        <v>2663</v>
      </c>
      <c r="B2" s="453"/>
      <c r="C2" s="453"/>
      <c r="D2" s="453"/>
      <c r="E2" s="453"/>
      <c r="F2" s="453"/>
      <c r="G2" s="453"/>
      <c r="H2" s="453"/>
    </row>
    <row r="3" spans="1:12" x14ac:dyDescent="0.3">
      <c r="A3" s="101" t="s">
        <v>127</v>
      </c>
      <c r="B3" s="77"/>
      <c r="C3" s="77"/>
      <c r="D3" s="77"/>
      <c r="E3" s="152"/>
      <c r="F3" s="77"/>
      <c r="G3" s="169" t="s">
        <v>5</v>
      </c>
      <c r="H3" s="169" t="s">
        <v>786</v>
      </c>
    </row>
    <row r="4" spans="1:12" x14ac:dyDescent="0.3">
      <c r="A4" s="178" t="s">
        <v>16</v>
      </c>
      <c r="B4" s="156" t="s">
        <v>12</v>
      </c>
      <c r="C4" s="81" t="s">
        <v>4</v>
      </c>
      <c r="D4" s="82" t="s">
        <v>15</v>
      </c>
      <c r="E4" s="82" t="s">
        <v>1</v>
      </c>
      <c r="F4" s="82" t="s">
        <v>34</v>
      </c>
      <c r="G4" s="83" t="s">
        <v>2</v>
      </c>
      <c r="H4" s="81" t="s">
        <v>3</v>
      </c>
    </row>
    <row r="5" spans="1:12" x14ac:dyDescent="0.3">
      <c r="A5" s="105"/>
      <c r="B5" s="84"/>
      <c r="C5" s="85"/>
      <c r="D5" s="86" t="s">
        <v>0</v>
      </c>
      <c r="E5" s="86"/>
      <c r="F5" s="86" t="s">
        <v>35</v>
      </c>
      <c r="G5" s="87"/>
      <c r="H5" s="158"/>
    </row>
    <row r="6" spans="1:12" ht="18.75" x14ac:dyDescent="0.3">
      <c r="A6" s="179" t="s">
        <v>2116</v>
      </c>
      <c r="B6" s="90" t="s">
        <v>1115</v>
      </c>
      <c r="C6" s="218" t="s">
        <v>1116</v>
      </c>
      <c r="D6" s="98"/>
      <c r="E6" s="177"/>
      <c r="F6" s="134"/>
      <c r="G6" s="135"/>
      <c r="H6" s="189"/>
    </row>
    <row r="7" spans="1:12" ht="18.75" x14ac:dyDescent="0.3">
      <c r="A7" s="179" t="s">
        <v>2741</v>
      </c>
      <c r="B7" s="97" t="s">
        <v>2753</v>
      </c>
      <c r="C7" s="219" t="s">
        <v>91</v>
      </c>
      <c r="D7" s="98">
        <v>3500</v>
      </c>
      <c r="E7" s="98">
        <v>3500</v>
      </c>
      <c r="F7" s="91"/>
      <c r="G7" s="387">
        <f>D7-E7-F7</f>
        <v>0</v>
      </c>
      <c r="H7" s="189"/>
    </row>
    <row r="8" spans="1:12" ht="18.75" x14ac:dyDescent="0.3">
      <c r="A8" s="179" t="s">
        <v>2420</v>
      </c>
      <c r="B8" s="90" t="s">
        <v>2422</v>
      </c>
      <c r="C8" s="218" t="s">
        <v>92</v>
      </c>
      <c r="D8" s="98">
        <v>3500</v>
      </c>
      <c r="E8" s="98">
        <v>3500</v>
      </c>
      <c r="F8" s="93"/>
      <c r="G8" s="387">
        <f t="shared" ref="G8:G26" si="0">D8-E8-F8</f>
        <v>0</v>
      </c>
      <c r="H8" s="94"/>
    </row>
    <row r="9" spans="1:12" ht="18.75" x14ac:dyDescent="0.3">
      <c r="A9" s="179" t="s">
        <v>2599</v>
      </c>
      <c r="B9" s="97" t="s">
        <v>2627</v>
      </c>
      <c r="C9" s="218" t="s">
        <v>515</v>
      </c>
      <c r="D9" s="98">
        <v>3500</v>
      </c>
      <c r="E9" s="98">
        <v>3500</v>
      </c>
      <c r="F9" s="93"/>
      <c r="G9" s="387">
        <f t="shared" si="0"/>
        <v>0</v>
      </c>
      <c r="H9" s="75"/>
      <c r="K9" s="139"/>
      <c r="L9" s="138"/>
    </row>
    <row r="10" spans="1:12" ht="18.75" x14ac:dyDescent="0.3">
      <c r="A10" s="179"/>
      <c r="B10" s="97" t="s">
        <v>2628</v>
      </c>
      <c r="C10" s="218" t="s">
        <v>538</v>
      </c>
      <c r="D10" s="98">
        <v>3500</v>
      </c>
      <c r="E10" s="98">
        <v>3500</v>
      </c>
      <c r="F10" s="134"/>
      <c r="G10" s="387">
        <f t="shared" si="0"/>
        <v>0</v>
      </c>
      <c r="H10" s="189"/>
      <c r="K10" s="139"/>
      <c r="L10" s="138"/>
    </row>
    <row r="11" spans="1:12" ht="18.75" x14ac:dyDescent="0.3">
      <c r="A11" s="179" t="s">
        <v>2420</v>
      </c>
      <c r="B11" s="90" t="s">
        <v>2424</v>
      </c>
      <c r="C11" s="218" t="s">
        <v>541</v>
      </c>
      <c r="D11" s="98">
        <v>3500</v>
      </c>
      <c r="E11" s="98">
        <v>3500</v>
      </c>
      <c r="F11" s="134"/>
      <c r="G11" s="387">
        <f t="shared" si="0"/>
        <v>0</v>
      </c>
      <c r="H11" s="189"/>
      <c r="K11" s="139"/>
      <c r="L11" s="138"/>
    </row>
    <row r="12" spans="1:12" ht="18.75" x14ac:dyDescent="0.3">
      <c r="A12" s="179"/>
      <c r="B12" s="90" t="s">
        <v>2613</v>
      </c>
      <c r="C12" s="218" t="s">
        <v>537</v>
      </c>
      <c r="D12" s="98">
        <v>3500</v>
      </c>
      <c r="E12" s="98">
        <v>3500</v>
      </c>
      <c r="F12" s="134"/>
      <c r="G12" s="387">
        <f t="shared" si="0"/>
        <v>0</v>
      </c>
      <c r="H12" s="189"/>
      <c r="K12" s="139"/>
      <c r="L12" s="138"/>
    </row>
    <row r="13" spans="1:12" ht="18.75" x14ac:dyDescent="0.3">
      <c r="A13" s="179"/>
      <c r="B13" s="97" t="s">
        <v>2614</v>
      </c>
      <c r="C13" s="218" t="s">
        <v>548</v>
      </c>
      <c r="D13" s="98">
        <v>3500</v>
      </c>
      <c r="E13" s="98">
        <v>3500</v>
      </c>
      <c r="F13" s="134"/>
      <c r="G13" s="387">
        <f t="shared" si="0"/>
        <v>0</v>
      </c>
      <c r="H13" s="189"/>
      <c r="K13" s="139"/>
      <c r="L13" s="138"/>
    </row>
    <row r="14" spans="1:12" ht="18.75" x14ac:dyDescent="0.3">
      <c r="A14" s="179"/>
      <c r="B14" s="90" t="s">
        <v>2612</v>
      </c>
      <c r="C14" s="218" t="s">
        <v>78</v>
      </c>
      <c r="D14" s="98">
        <v>3500</v>
      </c>
      <c r="E14" s="98">
        <v>3500</v>
      </c>
      <c r="F14" s="134"/>
      <c r="G14" s="387">
        <f t="shared" si="0"/>
        <v>0</v>
      </c>
      <c r="H14" s="189"/>
      <c r="K14" s="139"/>
      <c r="L14" s="138"/>
    </row>
    <row r="15" spans="1:12" ht="18.75" x14ac:dyDescent="0.3">
      <c r="A15" s="179" t="s">
        <v>2420</v>
      </c>
      <c r="B15" s="90" t="s">
        <v>2421</v>
      </c>
      <c r="C15" s="218" t="s">
        <v>70</v>
      </c>
      <c r="D15" s="98">
        <v>3500</v>
      </c>
      <c r="E15" s="98">
        <v>3500</v>
      </c>
      <c r="F15" s="134"/>
      <c r="G15" s="387">
        <f t="shared" si="0"/>
        <v>0</v>
      </c>
      <c r="H15" s="189"/>
      <c r="K15" s="139"/>
      <c r="L15" s="138"/>
    </row>
    <row r="16" spans="1:12" ht="18.75" x14ac:dyDescent="0.3">
      <c r="A16" s="179"/>
      <c r="B16" s="90" t="s">
        <v>2600</v>
      </c>
      <c r="C16" s="218" t="s">
        <v>466</v>
      </c>
      <c r="D16" s="98">
        <v>3500</v>
      </c>
      <c r="E16" s="98">
        <v>3500</v>
      </c>
      <c r="F16" s="134"/>
      <c r="G16" s="387">
        <f t="shared" si="0"/>
        <v>0</v>
      </c>
      <c r="H16" s="189"/>
      <c r="K16" s="139"/>
      <c r="L16" s="138"/>
    </row>
    <row r="17" spans="1:13" ht="18.75" x14ac:dyDescent="0.3">
      <c r="A17" s="179"/>
      <c r="B17" s="97" t="s">
        <v>2612</v>
      </c>
      <c r="C17" s="218" t="s">
        <v>470</v>
      </c>
      <c r="D17" s="98">
        <v>3500</v>
      </c>
      <c r="E17" s="98">
        <v>3500</v>
      </c>
      <c r="F17" s="134"/>
      <c r="G17" s="387">
        <f t="shared" si="0"/>
        <v>0</v>
      </c>
      <c r="H17" s="189"/>
      <c r="K17" s="139"/>
      <c r="L17" s="138"/>
    </row>
    <row r="18" spans="1:13" ht="18.75" x14ac:dyDescent="0.3">
      <c r="A18" s="179"/>
      <c r="B18" s="90" t="s">
        <v>2676</v>
      </c>
      <c r="C18" s="218" t="s">
        <v>455</v>
      </c>
      <c r="D18" s="98">
        <v>3500</v>
      </c>
      <c r="E18" s="98">
        <v>3500</v>
      </c>
      <c r="F18" s="134"/>
      <c r="G18" s="387">
        <f t="shared" si="0"/>
        <v>0</v>
      </c>
      <c r="H18" s="189"/>
      <c r="K18" s="139"/>
      <c r="L18" s="138"/>
    </row>
    <row r="19" spans="1:13" ht="18.75" x14ac:dyDescent="0.3">
      <c r="A19" s="179"/>
      <c r="B19" s="97" t="s">
        <v>2601</v>
      </c>
      <c r="C19" s="218" t="s">
        <v>2396</v>
      </c>
      <c r="D19" s="98">
        <v>3500</v>
      </c>
      <c r="E19" s="98">
        <v>3500</v>
      </c>
      <c r="F19" s="134"/>
      <c r="G19" s="387">
        <f t="shared" si="0"/>
        <v>0</v>
      </c>
      <c r="H19" s="189"/>
      <c r="K19" s="139"/>
      <c r="L19" s="138"/>
    </row>
    <row r="20" spans="1:13" ht="18.75" x14ac:dyDescent="0.3">
      <c r="A20" s="179" t="s">
        <v>2420</v>
      </c>
      <c r="B20" s="90" t="s">
        <v>2423</v>
      </c>
      <c r="C20" s="218" t="s">
        <v>68</v>
      </c>
      <c r="D20" s="98">
        <v>3500</v>
      </c>
      <c r="E20" s="98">
        <v>3500</v>
      </c>
      <c r="F20" s="134"/>
      <c r="G20" s="387">
        <f t="shared" si="0"/>
        <v>0</v>
      </c>
      <c r="H20" s="189"/>
      <c r="K20" s="139"/>
      <c r="L20" s="138"/>
    </row>
    <row r="21" spans="1:13" ht="18.75" x14ac:dyDescent="0.3">
      <c r="A21" s="179"/>
      <c r="B21" s="90" t="s">
        <v>2613</v>
      </c>
      <c r="C21" s="218" t="s">
        <v>38</v>
      </c>
      <c r="D21" s="98">
        <v>3500</v>
      </c>
      <c r="E21" s="98">
        <v>3500</v>
      </c>
      <c r="F21" s="134"/>
      <c r="G21" s="387">
        <f t="shared" si="0"/>
        <v>0</v>
      </c>
      <c r="H21" s="189"/>
      <c r="K21" s="139"/>
      <c r="L21" s="138"/>
    </row>
    <row r="22" spans="1:13" ht="18.75" x14ac:dyDescent="0.3">
      <c r="A22" s="179"/>
      <c r="B22" s="90" t="s">
        <v>2611</v>
      </c>
      <c r="C22" s="219" t="s">
        <v>475</v>
      </c>
      <c r="D22" s="98">
        <v>3500</v>
      </c>
      <c r="E22" s="98">
        <v>3500</v>
      </c>
      <c r="F22" s="134"/>
      <c r="G22" s="387">
        <f t="shared" si="0"/>
        <v>0</v>
      </c>
      <c r="H22" s="189"/>
      <c r="K22" s="139"/>
      <c r="L22" s="138"/>
    </row>
    <row r="23" spans="1:13" ht="18.75" x14ac:dyDescent="0.3">
      <c r="A23" s="179" t="s">
        <v>2689</v>
      </c>
      <c r="B23" s="97" t="s">
        <v>2711</v>
      </c>
      <c r="C23" s="219" t="s">
        <v>87</v>
      </c>
      <c r="D23" s="98">
        <v>3500</v>
      </c>
      <c r="E23" s="98">
        <v>3500</v>
      </c>
      <c r="F23" s="134"/>
      <c r="G23" s="387">
        <f t="shared" si="0"/>
        <v>0</v>
      </c>
      <c r="H23" s="189"/>
      <c r="K23" s="139"/>
      <c r="L23" s="138"/>
    </row>
    <row r="24" spans="1:13" ht="18.75" x14ac:dyDescent="0.3">
      <c r="A24" s="179" t="s">
        <v>2420</v>
      </c>
      <c r="B24" s="90" t="s">
        <v>2421</v>
      </c>
      <c r="C24" s="219" t="s">
        <v>435</v>
      </c>
      <c r="D24" s="98">
        <v>3500</v>
      </c>
      <c r="E24" s="98">
        <v>3500</v>
      </c>
      <c r="F24" s="134"/>
      <c r="G24" s="387">
        <f t="shared" si="0"/>
        <v>0</v>
      </c>
      <c r="H24" s="189"/>
      <c r="K24" s="139"/>
      <c r="L24" s="138"/>
    </row>
    <row r="25" spans="1:13" ht="18.75" x14ac:dyDescent="0.3">
      <c r="A25" s="179" t="s">
        <v>2420</v>
      </c>
      <c r="B25" s="90" t="s">
        <v>2423</v>
      </c>
      <c r="C25" s="219" t="s">
        <v>553</v>
      </c>
      <c r="D25" s="98">
        <v>3500</v>
      </c>
      <c r="E25" s="98">
        <v>3500</v>
      </c>
      <c r="F25" s="134"/>
      <c r="G25" s="387">
        <f t="shared" si="0"/>
        <v>0</v>
      </c>
      <c r="H25" s="75"/>
      <c r="K25" s="139"/>
      <c r="L25" s="138"/>
    </row>
    <row r="26" spans="1:13" ht="18.75" x14ac:dyDescent="0.3">
      <c r="A26" s="179"/>
      <c r="B26" s="90" t="s">
        <v>2613</v>
      </c>
      <c r="C26" s="219" t="s">
        <v>66</v>
      </c>
      <c r="D26" s="98">
        <v>3500</v>
      </c>
      <c r="E26" s="98">
        <v>3500</v>
      </c>
      <c r="F26" s="134"/>
      <c r="G26" s="387">
        <f t="shared" si="0"/>
        <v>0</v>
      </c>
      <c r="H26" s="269"/>
      <c r="K26" s="139"/>
      <c r="L26" s="138"/>
    </row>
    <row r="27" spans="1:13" ht="18.75" x14ac:dyDescent="0.3">
      <c r="A27" s="179"/>
      <c r="B27" s="90"/>
      <c r="C27" s="218"/>
      <c r="D27" s="93"/>
      <c r="E27" s="93"/>
      <c r="F27" s="134"/>
      <c r="G27" s="135"/>
      <c r="H27" s="189"/>
      <c r="K27" s="139"/>
      <c r="L27" s="138"/>
    </row>
    <row r="28" spans="1:13" x14ac:dyDescent="0.3">
      <c r="A28" s="179"/>
      <c r="B28" s="97"/>
      <c r="C28" s="187"/>
      <c r="D28" s="134"/>
      <c r="E28" s="91"/>
      <c r="F28" s="91"/>
      <c r="G28" s="135"/>
      <c r="H28" s="150"/>
      <c r="K28" s="139"/>
      <c r="L28" s="138"/>
    </row>
    <row r="29" spans="1:13" ht="18" thickBot="1" x14ac:dyDescent="0.35">
      <c r="A29" s="108"/>
      <c r="B29" s="143"/>
      <c r="C29" s="131" t="s">
        <v>107</v>
      </c>
      <c r="D29" s="170">
        <f>SUM(D6:D28)</f>
        <v>70000</v>
      </c>
      <c r="E29" s="170">
        <f>SUM(E6:E28)</f>
        <v>70000</v>
      </c>
      <c r="F29" s="170">
        <f>SUM(F6:F28)</f>
        <v>0</v>
      </c>
      <c r="G29" s="161">
        <f>D29-E29-F29</f>
        <v>0</v>
      </c>
      <c r="H29" s="94"/>
      <c r="K29" s="139"/>
      <c r="L29" s="138"/>
    </row>
    <row r="30" spans="1:13" ht="18" thickTop="1" x14ac:dyDescent="0.3">
      <c r="D30" s="137"/>
      <c r="F30" s="176"/>
      <c r="G30" s="199"/>
      <c r="J30" s="155"/>
      <c r="K30" s="139"/>
      <c r="L30" s="138"/>
    </row>
    <row r="31" spans="1:13" x14ac:dyDescent="0.3">
      <c r="D31" s="137"/>
      <c r="E31" s="132"/>
      <c r="F31" s="164"/>
      <c r="G31" s="132"/>
      <c r="J31" s="155"/>
    </row>
    <row r="32" spans="1:13" x14ac:dyDescent="0.3">
      <c r="D32" s="137"/>
      <c r="E32" s="132"/>
      <c r="G32" s="132"/>
      <c r="J32" s="132"/>
      <c r="M32" s="132"/>
    </row>
    <row r="33" spans="2:15" x14ac:dyDescent="0.3">
      <c r="C33" s="164"/>
      <c r="E33" s="132"/>
      <c r="G33" s="164"/>
      <c r="M33" s="132"/>
    </row>
    <row r="34" spans="2:15" x14ac:dyDescent="0.3">
      <c r="C34" s="164"/>
      <c r="E34" s="164"/>
      <c r="G34" s="164"/>
      <c r="M34" s="164"/>
      <c r="O34" s="164"/>
    </row>
    <row r="35" spans="2:15" x14ac:dyDescent="0.3">
      <c r="E35" s="139"/>
      <c r="F35" s="132"/>
      <c r="G35" s="164"/>
      <c r="M35" s="132"/>
      <c r="N35" s="132"/>
      <c r="O35" s="164"/>
    </row>
    <row r="36" spans="2:15" x14ac:dyDescent="0.3">
      <c r="B36" s="138"/>
      <c r="C36" s="146"/>
      <c r="D36" s="171"/>
      <c r="E36" s="172"/>
      <c r="G36" s="173"/>
      <c r="O36" s="173"/>
    </row>
    <row r="37" spans="2:15" x14ac:dyDescent="0.3">
      <c r="B37" s="138"/>
      <c r="C37" s="138"/>
      <c r="D37" s="140"/>
      <c r="E37" s="139"/>
    </row>
    <row r="38" spans="2:15" x14ac:dyDescent="0.3">
      <c r="B38" s="138"/>
      <c r="C38" s="138"/>
      <c r="D38" s="140"/>
      <c r="E38" s="139"/>
      <c r="G38" s="132"/>
      <c r="O38" s="132"/>
    </row>
    <row r="39" spans="2:15" x14ac:dyDescent="0.3">
      <c r="B39" s="138"/>
      <c r="C39" s="138"/>
      <c r="D39" s="140"/>
      <c r="E39" s="139"/>
      <c r="G39" s="132"/>
    </row>
    <row r="40" spans="2:15" x14ac:dyDescent="0.3">
      <c r="B40" s="138"/>
      <c r="C40" s="138"/>
      <c r="D40" s="174"/>
      <c r="E40" s="146"/>
    </row>
    <row r="41" spans="2:15" x14ac:dyDescent="0.3">
      <c r="B41" s="138"/>
      <c r="C41" s="138"/>
      <c r="D41" s="138"/>
      <c r="E41" s="139"/>
    </row>
    <row r="42" spans="2:15" x14ac:dyDescent="0.3">
      <c r="B42" s="138"/>
      <c r="C42" s="138"/>
      <c r="D42" s="138"/>
      <c r="E42" s="146"/>
    </row>
  </sheetData>
  <mergeCells count="2">
    <mergeCell ref="A1:H1"/>
    <mergeCell ref="A2:H2"/>
  </mergeCells>
  <pageMargins left="0.27" right="0.15" top="0.15748031496062992" bottom="0.15748031496062992" header="0.15748031496062992" footer="0.15748031496062992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8"/>
  <sheetViews>
    <sheetView workbookViewId="0">
      <selection activeCell="H14" sqref="H14"/>
    </sheetView>
  </sheetViews>
  <sheetFormatPr defaultRowHeight="17.25" x14ac:dyDescent="0.3"/>
  <cols>
    <col min="1" max="1" width="8.140625" style="23" customWidth="1"/>
    <col min="2" max="2" width="7.85546875" style="78" bestFit="1" customWidth="1"/>
    <col min="3" max="3" width="28.7109375" style="78" customWidth="1"/>
    <col min="4" max="4" width="10.7109375" style="78" customWidth="1"/>
    <col min="5" max="5" width="10.140625" style="78" customWidth="1"/>
    <col min="6" max="6" width="9.140625" style="78" customWidth="1"/>
    <col min="7" max="7" width="11.85546875" style="78" customWidth="1"/>
    <col min="8" max="8" width="9.7109375" style="78" customWidth="1"/>
    <col min="9" max="9" width="9.85546875" style="137" bestFit="1" customWidth="1"/>
    <col min="10" max="10" width="9.140625" style="78"/>
    <col min="11" max="11" width="14" style="132" customWidth="1"/>
    <col min="12" max="12" width="11.85546875" style="78" customWidth="1"/>
    <col min="13" max="13" width="11.28515625" style="78" customWidth="1"/>
    <col min="14" max="14" width="11" style="78" customWidth="1"/>
    <col min="15" max="16384" width="9.140625" style="78"/>
  </cols>
  <sheetData>
    <row r="2" spans="1:12" x14ac:dyDescent="0.3">
      <c r="A2" s="453" t="s">
        <v>209</v>
      </c>
      <c r="B2" s="453"/>
      <c r="C2" s="453"/>
      <c r="D2" s="453"/>
      <c r="E2" s="453"/>
      <c r="F2" s="453"/>
      <c r="G2" s="453"/>
      <c r="H2" s="453"/>
    </row>
    <row r="3" spans="1:12" x14ac:dyDescent="0.3">
      <c r="A3" s="453" t="s">
        <v>2927</v>
      </c>
      <c r="B3" s="453"/>
      <c r="C3" s="453"/>
      <c r="D3" s="453"/>
      <c r="E3" s="453"/>
      <c r="F3" s="453"/>
      <c r="G3" s="453"/>
      <c r="H3" s="453"/>
    </row>
    <row r="4" spans="1:12" x14ac:dyDescent="0.3">
      <c r="A4" s="101" t="s">
        <v>127</v>
      </c>
      <c r="B4" s="77"/>
      <c r="C4" s="77"/>
      <c r="D4" s="77"/>
      <c r="E4" s="152"/>
      <c r="F4" s="77"/>
      <c r="G4" s="169" t="s">
        <v>5</v>
      </c>
      <c r="H4" s="169" t="s">
        <v>789</v>
      </c>
    </row>
    <row r="5" spans="1:12" x14ac:dyDescent="0.3">
      <c r="A5" s="178" t="s">
        <v>16</v>
      </c>
      <c r="B5" s="156" t="s">
        <v>12</v>
      </c>
      <c r="C5" s="81" t="s">
        <v>4</v>
      </c>
      <c r="D5" s="82" t="s">
        <v>15</v>
      </c>
      <c r="E5" s="82" t="s">
        <v>1</v>
      </c>
      <c r="F5" s="82" t="s">
        <v>34</v>
      </c>
      <c r="G5" s="83" t="s">
        <v>2</v>
      </c>
      <c r="H5" s="81" t="s">
        <v>3</v>
      </c>
    </row>
    <row r="6" spans="1:12" x14ac:dyDescent="0.3">
      <c r="A6" s="105"/>
      <c r="B6" s="84"/>
      <c r="C6" s="85"/>
      <c r="D6" s="86" t="s">
        <v>0</v>
      </c>
      <c r="E6" s="86"/>
      <c r="F6" s="86" t="s">
        <v>35</v>
      </c>
      <c r="G6" s="87"/>
      <c r="H6" s="158"/>
    </row>
    <row r="7" spans="1:12" x14ac:dyDescent="0.3">
      <c r="A7" s="179" t="s">
        <v>790</v>
      </c>
      <c r="B7" s="97" t="s">
        <v>791</v>
      </c>
      <c r="C7" s="188" t="s">
        <v>792</v>
      </c>
      <c r="D7" s="98">
        <v>146500</v>
      </c>
      <c r="E7" s="177"/>
      <c r="F7" s="134"/>
      <c r="G7" s="135">
        <v>146500</v>
      </c>
      <c r="H7" s="189" t="s">
        <v>18</v>
      </c>
    </row>
    <row r="8" spans="1:12" x14ac:dyDescent="0.3">
      <c r="A8" s="179" t="s">
        <v>2355</v>
      </c>
      <c r="B8" s="97" t="s">
        <v>2356</v>
      </c>
      <c r="C8" s="76" t="s">
        <v>2357</v>
      </c>
      <c r="D8" s="98"/>
      <c r="E8" s="98">
        <v>105900</v>
      </c>
      <c r="F8" s="134"/>
      <c r="G8" s="135">
        <f>G7-E8-F8</f>
        <v>40600</v>
      </c>
      <c r="H8" s="189"/>
    </row>
    <row r="9" spans="1:12" x14ac:dyDescent="0.3">
      <c r="A9" s="179" t="s">
        <v>2480</v>
      </c>
      <c r="B9" s="97" t="s">
        <v>2507</v>
      </c>
      <c r="C9" s="76" t="s">
        <v>2294</v>
      </c>
      <c r="D9" s="98"/>
      <c r="E9" s="98">
        <v>15250</v>
      </c>
      <c r="F9" s="134"/>
      <c r="G9" s="135">
        <f t="shared" ref="G9:G10" si="0">G8-E9-F9</f>
        <v>25350</v>
      </c>
      <c r="H9" s="189"/>
    </row>
    <row r="10" spans="1:12" x14ac:dyDescent="0.3">
      <c r="A10" s="179"/>
      <c r="B10" s="97" t="s">
        <v>2508</v>
      </c>
      <c r="C10" s="76" t="s">
        <v>1286</v>
      </c>
      <c r="D10" s="98"/>
      <c r="E10" s="98">
        <v>5350</v>
      </c>
      <c r="F10" s="134"/>
      <c r="G10" s="135">
        <f t="shared" si="0"/>
        <v>20000</v>
      </c>
      <c r="H10" s="189"/>
    </row>
    <row r="11" spans="1:12" ht="18.75" x14ac:dyDescent="0.3">
      <c r="A11" s="179"/>
      <c r="B11" s="97"/>
      <c r="C11" s="76"/>
      <c r="D11" s="98">
        <v>-20000</v>
      </c>
      <c r="E11" s="177"/>
      <c r="F11" s="134"/>
      <c r="G11" s="405">
        <f>G10+D11</f>
        <v>0</v>
      </c>
      <c r="H11" s="189"/>
    </row>
    <row r="12" spans="1:12" x14ac:dyDescent="0.3">
      <c r="A12" s="179"/>
      <c r="B12" s="97"/>
      <c r="C12" s="76"/>
      <c r="D12" s="98"/>
      <c r="E12" s="177"/>
      <c r="F12" s="134"/>
      <c r="G12" s="135"/>
      <c r="H12" s="189"/>
    </row>
    <row r="13" spans="1:12" ht="18.75" x14ac:dyDescent="0.3">
      <c r="A13" s="179"/>
      <c r="B13" s="97"/>
      <c r="C13" s="219" t="s">
        <v>2010</v>
      </c>
      <c r="D13" s="98"/>
      <c r="E13" s="177"/>
      <c r="F13" s="91"/>
      <c r="G13" s="135"/>
      <c r="H13" s="189"/>
    </row>
    <row r="14" spans="1:12" ht="18.75" x14ac:dyDescent="0.3">
      <c r="A14" s="179" t="s">
        <v>1498</v>
      </c>
      <c r="B14" s="90" t="s">
        <v>1503</v>
      </c>
      <c r="C14" s="218" t="s">
        <v>1262</v>
      </c>
      <c r="D14" s="93">
        <v>8000</v>
      </c>
      <c r="E14" s="93">
        <v>8000</v>
      </c>
      <c r="F14" s="93"/>
      <c r="G14" s="92">
        <f>D14-E14</f>
        <v>0</v>
      </c>
      <c r="H14" s="94"/>
    </row>
    <row r="15" spans="1:12" ht="18.75" x14ac:dyDescent="0.3">
      <c r="A15" s="179"/>
      <c r="B15" s="90" t="s">
        <v>1506</v>
      </c>
      <c r="C15" s="218" t="s">
        <v>1263</v>
      </c>
      <c r="D15" s="93">
        <v>8000</v>
      </c>
      <c r="E15" s="93">
        <v>8000</v>
      </c>
      <c r="F15" s="93"/>
      <c r="G15" s="92">
        <f t="shared" ref="G15:G33" si="1">D15-E15</f>
        <v>0</v>
      </c>
      <c r="H15" s="75"/>
      <c r="K15" s="139"/>
      <c r="L15" s="138"/>
    </row>
    <row r="16" spans="1:12" ht="18.75" x14ac:dyDescent="0.3">
      <c r="A16" s="179" t="s">
        <v>1498</v>
      </c>
      <c r="B16" s="90" t="s">
        <v>1500</v>
      </c>
      <c r="C16" s="218" t="s">
        <v>1264</v>
      </c>
      <c r="D16" s="93">
        <v>18000</v>
      </c>
      <c r="E16" s="93">
        <v>18000</v>
      </c>
      <c r="F16" s="134"/>
      <c r="G16" s="92">
        <f t="shared" si="1"/>
        <v>0</v>
      </c>
      <c r="H16" s="189"/>
      <c r="K16" s="139"/>
      <c r="L16" s="138"/>
    </row>
    <row r="17" spans="1:12" ht="18.75" x14ac:dyDescent="0.3">
      <c r="A17" s="179"/>
      <c r="B17" s="90" t="s">
        <v>1502</v>
      </c>
      <c r="C17" s="218" t="s">
        <v>1265</v>
      </c>
      <c r="D17" s="93">
        <v>8000</v>
      </c>
      <c r="E17" s="93">
        <v>8000</v>
      </c>
      <c r="F17" s="134"/>
      <c r="G17" s="92">
        <f t="shared" si="1"/>
        <v>0</v>
      </c>
      <c r="H17" s="189"/>
      <c r="K17" s="139"/>
      <c r="L17" s="138"/>
    </row>
    <row r="18" spans="1:12" ht="18.75" x14ac:dyDescent="0.3">
      <c r="A18" s="179"/>
      <c r="B18" s="90" t="s">
        <v>1504</v>
      </c>
      <c r="C18" s="218" t="s">
        <v>1266</v>
      </c>
      <c r="D18" s="93">
        <v>8000</v>
      </c>
      <c r="E18" s="93">
        <v>8000</v>
      </c>
      <c r="F18" s="134"/>
      <c r="G18" s="92">
        <f t="shared" si="1"/>
        <v>0</v>
      </c>
      <c r="H18" s="189"/>
      <c r="K18" s="139"/>
      <c r="L18" s="138"/>
    </row>
    <row r="19" spans="1:12" ht="18.75" x14ac:dyDescent="0.3">
      <c r="A19" s="179" t="s">
        <v>1606</v>
      </c>
      <c r="B19" s="97" t="s">
        <v>1624</v>
      </c>
      <c r="C19" s="219" t="s">
        <v>418</v>
      </c>
      <c r="D19" s="93">
        <v>8000</v>
      </c>
      <c r="E19" s="93">
        <v>8000</v>
      </c>
      <c r="F19" s="134"/>
      <c r="G19" s="92">
        <f t="shared" si="1"/>
        <v>0</v>
      </c>
      <c r="H19" s="189"/>
      <c r="K19" s="139"/>
      <c r="L19" s="138"/>
    </row>
    <row r="20" spans="1:12" ht="18.75" x14ac:dyDescent="0.3">
      <c r="A20" s="179" t="s">
        <v>1553</v>
      </c>
      <c r="B20" s="97" t="s">
        <v>1554</v>
      </c>
      <c r="C20" s="219" t="s">
        <v>414</v>
      </c>
      <c r="D20" s="93">
        <v>8000</v>
      </c>
      <c r="E20" s="93">
        <v>8000</v>
      </c>
      <c r="F20" s="134"/>
      <c r="G20" s="92">
        <f t="shared" si="1"/>
        <v>0</v>
      </c>
      <c r="H20" s="189"/>
      <c r="K20" s="139"/>
      <c r="L20" s="138"/>
    </row>
    <row r="21" spans="1:12" ht="18.75" x14ac:dyDescent="0.3">
      <c r="A21" s="179" t="s">
        <v>1606</v>
      </c>
      <c r="B21" s="97" t="s">
        <v>1623</v>
      </c>
      <c r="C21" s="219" t="s">
        <v>43</v>
      </c>
      <c r="D21" s="98">
        <v>18000</v>
      </c>
      <c r="E21" s="98">
        <v>18000</v>
      </c>
      <c r="F21" s="91"/>
      <c r="G21" s="92">
        <f t="shared" si="1"/>
        <v>0</v>
      </c>
      <c r="H21" s="189"/>
      <c r="K21" s="139"/>
      <c r="L21" s="138"/>
    </row>
    <row r="22" spans="1:12" ht="18.75" x14ac:dyDescent="0.3">
      <c r="A22" s="179"/>
      <c r="B22" s="97" t="s">
        <v>1501</v>
      </c>
      <c r="C22" s="219" t="s">
        <v>1267</v>
      </c>
      <c r="D22" s="98">
        <v>8000</v>
      </c>
      <c r="E22" s="98">
        <v>8000</v>
      </c>
      <c r="F22" s="134"/>
      <c r="G22" s="92">
        <f t="shared" si="1"/>
        <v>0</v>
      </c>
      <c r="H22" s="189"/>
      <c r="K22" s="139"/>
      <c r="L22" s="138"/>
    </row>
    <row r="23" spans="1:12" ht="18.75" x14ac:dyDescent="0.3">
      <c r="A23" s="179"/>
      <c r="B23" s="97" t="s">
        <v>1505</v>
      </c>
      <c r="C23" s="219" t="s">
        <v>1268</v>
      </c>
      <c r="D23" s="98">
        <v>18000</v>
      </c>
      <c r="E23" s="98">
        <v>18000</v>
      </c>
      <c r="F23" s="134"/>
      <c r="G23" s="92">
        <f t="shared" si="1"/>
        <v>0</v>
      </c>
      <c r="H23" s="189"/>
      <c r="K23" s="139"/>
      <c r="L23" s="138"/>
    </row>
    <row r="24" spans="1:12" ht="18.75" x14ac:dyDescent="0.3">
      <c r="A24" s="179" t="s">
        <v>1685</v>
      </c>
      <c r="B24" s="97" t="s">
        <v>1704</v>
      </c>
      <c r="C24" s="219" t="s">
        <v>1269</v>
      </c>
      <c r="D24" s="98">
        <v>8000</v>
      </c>
      <c r="E24" s="98">
        <v>8000</v>
      </c>
      <c r="F24" s="134"/>
      <c r="G24" s="92">
        <f t="shared" si="1"/>
        <v>0</v>
      </c>
      <c r="H24" s="189"/>
      <c r="K24" s="139"/>
      <c r="L24" s="138"/>
    </row>
    <row r="25" spans="1:12" ht="18.75" x14ac:dyDescent="0.3">
      <c r="A25" s="179"/>
      <c r="B25" s="97" t="s">
        <v>1705</v>
      </c>
      <c r="C25" s="219" t="s">
        <v>1270</v>
      </c>
      <c r="D25" s="98">
        <v>8000</v>
      </c>
      <c r="E25" s="98">
        <v>8000</v>
      </c>
      <c r="F25" s="134"/>
      <c r="G25" s="92">
        <f t="shared" si="1"/>
        <v>0</v>
      </c>
      <c r="H25" s="189"/>
      <c r="K25" s="139"/>
      <c r="L25" s="138"/>
    </row>
    <row r="26" spans="1:12" ht="18.75" x14ac:dyDescent="0.3">
      <c r="A26" s="179"/>
      <c r="B26" s="97" t="s">
        <v>1507</v>
      </c>
      <c r="C26" s="219" t="s">
        <v>1271</v>
      </c>
      <c r="D26" s="98">
        <v>8000</v>
      </c>
      <c r="E26" s="98">
        <v>8000</v>
      </c>
      <c r="F26" s="134"/>
      <c r="G26" s="92">
        <f t="shared" si="1"/>
        <v>0</v>
      </c>
      <c r="H26" s="189"/>
      <c r="K26" s="139"/>
      <c r="L26" s="138"/>
    </row>
    <row r="27" spans="1:12" ht="18.75" x14ac:dyDescent="0.3">
      <c r="A27" s="179" t="s">
        <v>1553</v>
      </c>
      <c r="B27" s="97" t="s">
        <v>1555</v>
      </c>
      <c r="C27" s="219" t="s">
        <v>1272</v>
      </c>
      <c r="D27" s="98">
        <v>8000</v>
      </c>
      <c r="E27" s="98">
        <v>8000</v>
      </c>
      <c r="F27" s="134"/>
      <c r="G27" s="92">
        <f t="shared" si="1"/>
        <v>0</v>
      </c>
      <c r="H27" s="189"/>
      <c r="K27" s="139"/>
      <c r="L27" s="138"/>
    </row>
    <row r="28" spans="1:12" ht="18.75" x14ac:dyDescent="0.3">
      <c r="A28" s="179"/>
      <c r="B28" s="97" t="s">
        <v>283</v>
      </c>
      <c r="C28" s="219" t="s">
        <v>1273</v>
      </c>
      <c r="D28" s="98">
        <v>8000</v>
      </c>
      <c r="E28" s="98">
        <v>8000</v>
      </c>
      <c r="F28" s="134"/>
      <c r="G28" s="92">
        <f t="shared" si="1"/>
        <v>0</v>
      </c>
      <c r="H28" s="189"/>
      <c r="K28" s="139"/>
      <c r="L28" s="138"/>
    </row>
    <row r="29" spans="1:12" ht="18.75" x14ac:dyDescent="0.3">
      <c r="A29" s="179"/>
      <c r="B29" s="97" t="s">
        <v>1508</v>
      </c>
      <c r="C29" s="219" t="s">
        <v>1274</v>
      </c>
      <c r="D29" s="98">
        <v>18000</v>
      </c>
      <c r="E29" s="98">
        <v>18000</v>
      </c>
      <c r="F29" s="134"/>
      <c r="G29" s="92">
        <f t="shared" si="1"/>
        <v>0</v>
      </c>
      <c r="H29" s="189"/>
      <c r="K29" s="139"/>
      <c r="L29" s="138"/>
    </row>
    <row r="30" spans="1:12" ht="18.75" x14ac:dyDescent="0.3">
      <c r="A30" s="179"/>
      <c r="B30" s="97" t="s">
        <v>1502</v>
      </c>
      <c r="C30" s="219" t="s">
        <v>1275</v>
      </c>
      <c r="D30" s="98">
        <v>8000</v>
      </c>
      <c r="E30" s="98">
        <v>8000</v>
      </c>
      <c r="F30" s="134"/>
      <c r="G30" s="92">
        <f t="shared" si="1"/>
        <v>0</v>
      </c>
      <c r="H30" s="189"/>
      <c r="K30" s="139"/>
      <c r="L30" s="138"/>
    </row>
    <row r="31" spans="1:12" ht="18.75" x14ac:dyDescent="0.3">
      <c r="A31" s="179"/>
      <c r="B31" s="97" t="s">
        <v>1509</v>
      </c>
      <c r="C31" s="219" t="s">
        <v>1276</v>
      </c>
      <c r="D31" s="98">
        <v>8000</v>
      </c>
      <c r="E31" s="98">
        <v>8000</v>
      </c>
      <c r="F31" s="134"/>
      <c r="G31" s="92">
        <f t="shared" si="1"/>
        <v>0</v>
      </c>
      <c r="H31" s="189"/>
      <c r="K31" s="139"/>
      <c r="L31" s="138"/>
    </row>
    <row r="32" spans="1:12" ht="18.75" x14ac:dyDescent="0.3">
      <c r="A32" s="179" t="s">
        <v>1685</v>
      </c>
      <c r="B32" s="97" t="s">
        <v>1706</v>
      </c>
      <c r="C32" s="219" t="s">
        <v>1277</v>
      </c>
      <c r="D32" s="98">
        <v>8000</v>
      </c>
      <c r="E32" s="98">
        <v>8000</v>
      </c>
      <c r="F32" s="134"/>
      <c r="G32" s="92">
        <f t="shared" si="1"/>
        <v>0</v>
      </c>
      <c r="H32" s="189"/>
      <c r="K32" s="139"/>
      <c r="L32" s="138"/>
    </row>
    <row r="33" spans="1:15" ht="18.75" x14ac:dyDescent="0.3">
      <c r="A33" s="179" t="s">
        <v>1498</v>
      </c>
      <c r="B33" s="97" t="s">
        <v>1499</v>
      </c>
      <c r="C33" s="219" t="s">
        <v>1278</v>
      </c>
      <c r="D33" s="98">
        <v>8000</v>
      </c>
      <c r="E33" s="98">
        <v>8000</v>
      </c>
      <c r="F33" s="134"/>
      <c r="G33" s="92">
        <f t="shared" si="1"/>
        <v>0</v>
      </c>
      <c r="H33" s="189"/>
      <c r="K33" s="139"/>
      <c r="L33" s="138"/>
    </row>
    <row r="34" spans="1:15" x14ac:dyDescent="0.3">
      <c r="A34" s="179"/>
      <c r="B34" s="97"/>
      <c r="C34" s="187"/>
      <c r="D34" s="134"/>
      <c r="E34" s="91"/>
      <c r="F34" s="91"/>
      <c r="G34" s="135"/>
      <c r="H34" s="150"/>
      <c r="K34" s="139"/>
      <c r="L34" s="138"/>
    </row>
    <row r="35" spans="1:15" ht="18" thickBot="1" x14ac:dyDescent="0.35">
      <c r="A35" s="108"/>
      <c r="B35" s="143"/>
      <c r="C35" s="131" t="s">
        <v>107</v>
      </c>
      <c r="D35" s="170">
        <f>SUM(D7:D34)</f>
        <v>326500</v>
      </c>
      <c r="E35" s="170">
        <f>SUM(E7:E34)</f>
        <v>326500</v>
      </c>
      <c r="F35" s="170">
        <f>SUM(F7:F34)</f>
        <v>0</v>
      </c>
      <c r="G35" s="161">
        <f>D35-E35-F35</f>
        <v>0</v>
      </c>
      <c r="H35" s="94"/>
      <c r="K35" s="139"/>
      <c r="L35" s="138"/>
    </row>
    <row r="36" spans="1:15" ht="18" thickTop="1" x14ac:dyDescent="0.3">
      <c r="D36" s="137"/>
      <c r="F36" s="176"/>
      <c r="G36" s="199"/>
      <c r="J36" s="155"/>
      <c r="K36" s="139"/>
      <c r="L36" s="138"/>
    </row>
    <row r="37" spans="1:15" x14ac:dyDescent="0.3">
      <c r="D37" s="137"/>
      <c r="E37" s="132"/>
      <c r="F37" s="164"/>
      <c r="G37" s="132"/>
      <c r="J37" s="155"/>
    </row>
    <row r="38" spans="1:15" x14ac:dyDescent="0.3">
      <c r="D38" s="137"/>
      <c r="E38" s="132"/>
      <c r="G38" s="132"/>
      <c r="J38" s="132"/>
      <c r="M38" s="132"/>
    </row>
    <row r="39" spans="1:15" x14ac:dyDescent="0.3">
      <c r="C39" s="164"/>
      <c r="E39" s="132"/>
      <c r="G39" s="164"/>
      <c r="M39" s="132"/>
    </row>
    <row r="40" spans="1:15" x14ac:dyDescent="0.3">
      <c r="C40" s="164"/>
      <c r="E40" s="164"/>
      <c r="G40" s="164"/>
      <c r="M40" s="164"/>
      <c r="O40" s="164"/>
    </row>
    <row r="41" spans="1:15" x14ac:dyDescent="0.3">
      <c r="E41" s="139"/>
      <c r="F41" s="132"/>
      <c r="G41" s="164"/>
      <c r="M41" s="132"/>
      <c r="N41" s="132"/>
      <c r="O41" s="164"/>
    </row>
    <row r="42" spans="1:15" x14ac:dyDescent="0.3">
      <c r="B42" s="138"/>
      <c r="C42" s="146"/>
      <c r="D42" s="171"/>
      <c r="E42" s="172"/>
      <c r="G42" s="173"/>
      <c r="O42" s="173"/>
    </row>
    <row r="43" spans="1:15" x14ac:dyDescent="0.3">
      <c r="B43" s="138"/>
      <c r="C43" s="138"/>
      <c r="D43" s="140"/>
      <c r="E43" s="139"/>
    </row>
    <row r="44" spans="1:15" x14ac:dyDescent="0.3">
      <c r="B44" s="138"/>
      <c r="C44" s="138"/>
      <c r="D44" s="140"/>
      <c r="E44" s="139"/>
      <c r="G44" s="132"/>
      <c r="O44" s="132"/>
    </row>
    <row r="45" spans="1:15" x14ac:dyDescent="0.3">
      <c r="B45" s="138"/>
      <c r="C45" s="138"/>
      <c r="D45" s="140"/>
      <c r="E45" s="139"/>
      <c r="G45" s="132"/>
    </row>
    <row r="46" spans="1:15" x14ac:dyDescent="0.3">
      <c r="B46" s="138"/>
      <c r="C46" s="138"/>
      <c r="D46" s="174"/>
      <c r="E46" s="146"/>
    </row>
    <row r="47" spans="1:15" x14ac:dyDescent="0.3">
      <c r="B47" s="138"/>
      <c r="C47" s="138"/>
      <c r="D47" s="138"/>
      <c r="E47" s="139"/>
    </row>
    <row r="48" spans="1:15" x14ac:dyDescent="0.3">
      <c r="B48" s="138"/>
      <c r="C48" s="138"/>
      <c r="D48" s="138"/>
      <c r="E48" s="146"/>
    </row>
  </sheetData>
  <mergeCells count="2">
    <mergeCell ref="A2:H2"/>
    <mergeCell ref="A3:H3"/>
  </mergeCells>
  <pageMargins left="0.27" right="0.15" top="0.28999999999999998" bottom="0.15748031496062992" header="0.15748031496062992" footer="0.15748031496062992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4"/>
  <sheetViews>
    <sheetView workbookViewId="0">
      <selection activeCell="M14" sqref="M14"/>
    </sheetView>
  </sheetViews>
  <sheetFormatPr defaultRowHeight="17.25" x14ac:dyDescent="0.3"/>
  <cols>
    <col min="1" max="1" width="8.140625" style="23" customWidth="1"/>
    <col min="2" max="2" width="7.85546875" style="78" bestFit="1" customWidth="1"/>
    <col min="3" max="3" width="33" style="78" customWidth="1"/>
    <col min="4" max="4" width="10.7109375" style="78" customWidth="1"/>
    <col min="5" max="5" width="11.140625" style="78" customWidth="1"/>
    <col min="6" max="6" width="8.140625" style="78" customWidth="1"/>
    <col min="7" max="7" width="11.85546875" style="78" customWidth="1"/>
    <col min="8" max="8" width="9.7109375" style="78" customWidth="1"/>
    <col min="9" max="16384" width="9.140625" style="78"/>
  </cols>
  <sheetData>
    <row r="2" spans="1:8" x14ac:dyDescent="0.3">
      <c r="A2" s="453" t="s">
        <v>209</v>
      </c>
      <c r="B2" s="453"/>
      <c r="C2" s="453"/>
      <c r="D2" s="453"/>
      <c r="E2" s="453"/>
      <c r="F2" s="453"/>
      <c r="G2" s="453"/>
      <c r="H2" s="453"/>
    </row>
    <row r="3" spans="1:8" x14ac:dyDescent="0.3">
      <c r="A3" s="453" t="s">
        <v>2471</v>
      </c>
      <c r="B3" s="453"/>
      <c r="C3" s="453"/>
      <c r="D3" s="453"/>
      <c r="E3" s="453"/>
      <c r="F3" s="453"/>
      <c r="G3" s="453"/>
      <c r="H3" s="453"/>
    </row>
    <row r="4" spans="1:8" x14ac:dyDescent="0.3">
      <c r="A4" s="101" t="s">
        <v>127</v>
      </c>
      <c r="B4" s="77"/>
      <c r="C4" s="77"/>
      <c r="D4" s="77"/>
      <c r="E4" s="151"/>
      <c r="F4" s="77" t="s">
        <v>2373</v>
      </c>
      <c r="G4" s="169" t="s">
        <v>5</v>
      </c>
      <c r="H4" s="169" t="s">
        <v>754</v>
      </c>
    </row>
    <row r="5" spans="1:8" x14ac:dyDescent="0.3">
      <c r="A5" s="178" t="s">
        <v>16</v>
      </c>
      <c r="B5" s="156" t="s">
        <v>12</v>
      </c>
      <c r="C5" s="81" t="s">
        <v>4</v>
      </c>
      <c r="D5" s="82" t="s">
        <v>15</v>
      </c>
      <c r="E5" s="83" t="s">
        <v>1</v>
      </c>
      <c r="F5" s="82" t="s">
        <v>34</v>
      </c>
      <c r="G5" s="83" t="s">
        <v>2</v>
      </c>
      <c r="H5" s="81" t="s">
        <v>3</v>
      </c>
    </row>
    <row r="6" spans="1:8" x14ac:dyDescent="0.3">
      <c r="A6" s="105"/>
      <c r="B6" s="84"/>
      <c r="C6" s="85"/>
      <c r="D6" s="86" t="s">
        <v>0</v>
      </c>
      <c r="E6" s="87"/>
      <c r="F6" s="86" t="s">
        <v>35</v>
      </c>
      <c r="G6" s="87"/>
      <c r="H6" s="158"/>
    </row>
    <row r="7" spans="1:8" x14ac:dyDescent="0.3">
      <c r="A7" s="179" t="s">
        <v>755</v>
      </c>
      <c r="B7" s="97" t="s">
        <v>756</v>
      </c>
      <c r="C7" s="76" t="s">
        <v>758</v>
      </c>
      <c r="D7" s="98">
        <v>80000</v>
      </c>
      <c r="E7" s="98"/>
      <c r="F7" s="134"/>
      <c r="G7" s="135">
        <v>80000</v>
      </c>
      <c r="H7" s="189" t="s">
        <v>1247</v>
      </c>
    </row>
    <row r="8" spans="1:8" x14ac:dyDescent="0.3">
      <c r="A8" s="179" t="s">
        <v>1114</v>
      </c>
      <c r="B8" s="97" t="s">
        <v>1118</v>
      </c>
      <c r="C8" s="76" t="s">
        <v>1119</v>
      </c>
      <c r="D8" s="98">
        <v>25000</v>
      </c>
      <c r="E8" s="98"/>
      <c r="F8" s="91"/>
      <c r="G8" s="135">
        <f>G7+D8</f>
        <v>105000</v>
      </c>
      <c r="H8" s="189" t="s">
        <v>1279</v>
      </c>
    </row>
    <row r="9" spans="1:8" x14ac:dyDescent="0.3">
      <c r="A9" s="179" t="s">
        <v>1485</v>
      </c>
      <c r="B9" s="97" t="s">
        <v>1513</v>
      </c>
      <c r="C9" s="76" t="s">
        <v>1514</v>
      </c>
      <c r="D9" s="98"/>
      <c r="E9" s="98">
        <v>71056</v>
      </c>
      <c r="F9" s="93"/>
      <c r="G9" s="135">
        <f>G8-E9</f>
        <v>33944</v>
      </c>
      <c r="H9" s="189"/>
    </row>
    <row r="10" spans="1:8" x14ac:dyDescent="0.3">
      <c r="A10" s="179" t="s">
        <v>1541</v>
      </c>
      <c r="B10" s="97" t="s">
        <v>1567</v>
      </c>
      <c r="C10" s="76" t="s">
        <v>180</v>
      </c>
      <c r="D10" s="98"/>
      <c r="E10" s="98">
        <v>5188</v>
      </c>
      <c r="F10" s="93"/>
      <c r="G10" s="135">
        <f>G9-E10</f>
        <v>28756</v>
      </c>
      <c r="H10" s="189"/>
    </row>
    <row r="11" spans="1:8" x14ac:dyDescent="0.3">
      <c r="A11" s="179" t="s">
        <v>2116</v>
      </c>
      <c r="B11" s="90" t="s">
        <v>2289</v>
      </c>
      <c r="C11" s="76" t="s">
        <v>2288</v>
      </c>
      <c r="D11" s="93"/>
      <c r="E11" s="98">
        <v>13180</v>
      </c>
      <c r="F11" s="136"/>
      <c r="G11" s="135">
        <f t="shared" ref="G11:G16" si="0">G10-E11-F11</f>
        <v>15576</v>
      </c>
      <c r="H11" s="94"/>
    </row>
    <row r="12" spans="1:8" x14ac:dyDescent="0.3">
      <c r="A12" s="179" t="s">
        <v>2480</v>
      </c>
      <c r="B12" s="90" t="s">
        <v>2511</v>
      </c>
      <c r="C12" s="76" t="s">
        <v>675</v>
      </c>
      <c r="D12" s="93"/>
      <c r="E12" s="98">
        <v>990</v>
      </c>
      <c r="F12" s="136"/>
      <c r="G12" s="135">
        <f t="shared" si="0"/>
        <v>14586</v>
      </c>
      <c r="H12" s="94"/>
    </row>
    <row r="13" spans="1:8" x14ac:dyDescent="0.3">
      <c r="A13" s="179"/>
      <c r="B13" s="90" t="s">
        <v>2512</v>
      </c>
      <c r="C13" s="76" t="s">
        <v>1286</v>
      </c>
      <c r="D13" s="93"/>
      <c r="E13" s="98">
        <v>2805</v>
      </c>
      <c r="F13" s="136"/>
      <c r="G13" s="135">
        <f t="shared" si="0"/>
        <v>11781</v>
      </c>
      <c r="H13" s="94"/>
    </row>
    <row r="14" spans="1:8" x14ac:dyDescent="0.3">
      <c r="A14" s="179" t="s">
        <v>2480</v>
      </c>
      <c r="B14" s="90" t="s">
        <v>2516</v>
      </c>
      <c r="C14" s="76" t="s">
        <v>1070</v>
      </c>
      <c r="D14" s="93"/>
      <c r="E14" s="98">
        <v>980</v>
      </c>
      <c r="F14" s="136"/>
      <c r="G14" s="135">
        <f t="shared" si="0"/>
        <v>10801</v>
      </c>
      <c r="H14" s="94" t="s">
        <v>2526</v>
      </c>
    </row>
    <row r="15" spans="1:8" x14ac:dyDescent="0.3">
      <c r="A15" s="179" t="s">
        <v>2799</v>
      </c>
      <c r="B15" s="90" t="s">
        <v>2811</v>
      </c>
      <c r="C15" s="76" t="s">
        <v>2812</v>
      </c>
      <c r="D15" s="93"/>
      <c r="E15" s="98">
        <v>3460</v>
      </c>
      <c r="F15" s="136"/>
      <c r="G15" s="135">
        <f t="shared" si="0"/>
        <v>7341</v>
      </c>
      <c r="H15" s="94"/>
    </row>
    <row r="16" spans="1:8" x14ac:dyDescent="0.3">
      <c r="A16" s="179"/>
      <c r="B16" s="90"/>
      <c r="C16" s="76" t="s">
        <v>2385</v>
      </c>
      <c r="D16" s="93"/>
      <c r="E16" s="98">
        <v>-5180</v>
      </c>
      <c r="F16" s="136"/>
      <c r="G16" s="135">
        <f t="shared" si="0"/>
        <v>12521</v>
      </c>
      <c r="H16" s="94"/>
    </row>
    <row r="17" spans="1:8" x14ac:dyDescent="0.3">
      <c r="A17" s="179"/>
      <c r="B17" s="90"/>
      <c r="C17" s="76"/>
      <c r="D17" s="93">
        <v>1102</v>
      </c>
      <c r="E17" s="98"/>
      <c r="F17" s="136"/>
      <c r="G17" s="135">
        <f>G16+D17</f>
        <v>13623</v>
      </c>
      <c r="H17" s="94"/>
    </row>
    <row r="18" spans="1:8" x14ac:dyDescent="0.3">
      <c r="A18" s="179" t="s">
        <v>2741</v>
      </c>
      <c r="B18" s="90" t="s">
        <v>2740</v>
      </c>
      <c r="C18" s="49" t="s">
        <v>1514</v>
      </c>
      <c r="D18" s="93"/>
      <c r="E18" s="98">
        <v>13128</v>
      </c>
      <c r="F18" s="93"/>
      <c r="G18" s="211">
        <f>G17-D18-E18</f>
        <v>495</v>
      </c>
      <c r="H18" s="75"/>
    </row>
    <row r="19" spans="1:8" x14ac:dyDescent="0.3">
      <c r="A19" s="179"/>
      <c r="B19" s="90"/>
      <c r="C19" s="49"/>
      <c r="D19" s="93"/>
      <c r="E19" s="98"/>
      <c r="F19" s="93"/>
      <c r="G19" s="211"/>
      <c r="H19" s="269"/>
    </row>
    <row r="20" spans="1:8" x14ac:dyDescent="0.3">
      <c r="A20" s="179"/>
      <c r="B20" s="90"/>
      <c r="C20" s="49"/>
      <c r="D20" s="93"/>
      <c r="E20" s="98"/>
      <c r="F20" s="93"/>
      <c r="G20" s="211"/>
      <c r="H20" s="269"/>
    </row>
    <row r="21" spans="1:8" x14ac:dyDescent="0.3">
      <c r="A21" s="179" t="s">
        <v>864</v>
      </c>
      <c r="B21" s="90" t="s">
        <v>867</v>
      </c>
      <c r="C21" s="49" t="s">
        <v>868</v>
      </c>
      <c r="D21" s="93">
        <v>2500</v>
      </c>
      <c r="E21" s="98"/>
      <c r="F21" s="134"/>
      <c r="G21" s="135">
        <v>2500</v>
      </c>
      <c r="H21" s="189" t="s">
        <v>757</v>
      </c>
    </row>
    <row r="22" spans="1:8" x14ac:dyDescent="0.3">
      <c r="A22" s="179" t="s">
        <v>969</v>
      </c>
      <c r="B22" s="90" t="s">
        <v>970</v>
      </c>
      <c r="C22" s="49" t="s">
        <v>971</v>
      </c>
      <c r="D22" s="93"/>
      <c r="E22" s="98">
        <v>1398</v>
      </c>
      <c r="F22" s="134"/>
      <c r="G22" s="135">
        <v>0</v>
      </c>
      <c r="H22" s="189"/>
    </row>
    <row r="23" spans="1:8" x14ac:dyDescent="0.3">
      <c r="A23" s="179"/>
      <c r="B23" s="90"/>
      <c r="C23" s="49"/>
      <c r="D23" s="93">
        <v>-1102</v>
      </c>
      <c r="E23" s="98"/>
      <c r="F23" s="134"/>
      <c r="G23" s="135"/>
      <c r="H23" s="189"/>
    </row>
    <row r="24" spans="1:8" x14ac:dyDescent="0.3">
      <c r="A24" s="179"/>
      <c r="B24" s="97"/>
      <c r="C24" s="76"/>
      <c r="D24" s="98"/>
      <c r="E24" s="98"/>
      <c r="F24" s="134"/>
      <c r="G24" s="135"/>
      <c r="H24" s="189"/>
    </row>
    <row r="25" spans="1:8" x14ac:dyDescent="0.3">
      <c r="A25" s="179" t="s">
        <v>1625</v>
      </c>
      <c r="B25" s="97" t="s">
        <v>1649</v>
      </c>
      <c r="C25" s="49" t="s">
        <v>1650</v>
      </c>
      <c r="D25" s="98">
        <v>3000</v>
      </c>
      <c r="E25" s="98"/>
      <c r="F25" s="134"/>
      <c r="G25" s="135">
        <f>D25</f>
        <v>3000</v>
      </c>
      <c r="H25" s="189" t="s">
        <v>1651</v>
      </c>
    </row>
    <row r="26" spans="1:8" x14ac:dyDescent="0.3">
      <c r="A26" s="179"/>
      <c r="B26" s="97" t="s">
        <v>2347</v>
      </c>
      <c r="C26" s="188" t="s">
        <v>801</v>
      </c>
      <c r="D26" s="98"/>
      <c r="E26" s="98">
        <v>1944</v>
      </c>
      <c r="F26" s="91"/>
      <c r="G26" s="135">
        <f>G25-E26</f>
        <v>1056</v>
      </c>
      <c r="H26" s="189"/>
    </row>
    <row r="27" spans="1:8" x14ac:dyDescent="0.3">
      <c r="A27" s="179"/>
      <c r="B27" s="97"/>
      <c r="C27" s="188"/>
      <c r="D27" s="98"/>
      <c r="E27" s="98"/>
      <c r="F27" s="134"/>
      <c r="G27" s="135"/>
      <c r="H27" s="189"/>
    </row>
    <row r="28" spans="1:8" x14ac:dyDescent="0.3">
      <c r="A28" s="179" t="s">
        <v>2370</v>
      </c>
      <c r="B28" s="97" t="s">
        <v>2371</v>
      </c>
      <c r="C28" s="49" t="s">
        <v>2372</v>
      </c>
      <c r="D28" s="98">
        <v>6500</v>
      </c>
      <c r="E28" s="98"/>
      <c r="F28" s="134"/>
      <c r="G28" s="135">
        <v>6500</v>
      </c>
      <c r="H28" s="189" t="s">
        <v>757</v>
      </c>
    </row>
    <row r="29" spans="1:8" x14ac:dyDescent="0.3">
      <c r="A29" s="179" t="s">
        <v>2399</v>
      </c>
      <c r="B29" s="90" t="s">
        <v>2400</v>
      </c>
      <c r="C29" s="49" t="s">
        <v>2401</v>
      </c>
      <c r="D29" s="98"/>
      <c r="E29" s="98">
        <v>6462</v>
      </c>
      <c r="F29" s="134"/>
      <c r="G29" s="135">
        <f>G28-E29</f>
        <v>38</v>
      </c>
      <c r="H29" s="189"/>
    </row>
    <row r="30" spans="1:8" x14ac:dyDescent="0.3">
      <c r="A30" s="179"/>
      <c r="B30" s="97"/>
      <c r="C30" s="187"/>
      <c r="D30" s="134"/>
      <c r="E30" s="92"/>
      <c r="F30" s="91"/>
      <c r="G30" s="135"/>
      <c r="H30" s="150"/>
    </row>
    <row r="31" spans="1:8" ht="18" thickBot="1" x14ac:dyDescent="0.35">
      <c r="A31" s="108"/>
      <c r="B31" s="143"/>
      <c r="C31" s="131" t="s">
        <v>107</v>
      </c>
      <c r="D31" s="170">
        <f>SUM(D7:D30)</f>
        <v>117000</v>
      </c>
      <c r="E31" s="162">
        <f>SUM(E7:E30)</f>
        <v>115411</v>
      </c>
      <c r="F31" s="170">
        <f>SUM(F7:F30)</f>
        <v>0</v>
      </c>
      <c r="G31" s="161">
        <f>D31-E31-F31</f>
        <v>1589</v>
      </c>
      <c r="H31" s="94"/>
    </row>
    <row r="32" spans="1:8" ht="18" thickTop="1" x14ac:dyDescent="0.3">
      <c r="D32" s="137"/>
      <c r="F32" s="176"/>
      <c r="G32" s="199"/>
    </row>
    <row r="33" spans="2:9" x14ac:dyDescent="0.3">
      <c r="D33" s="137"/>
      <c r="E33" s="132"/>
      <c r="F33" s="164"/>
      <c r="G33" s="132"/>
    </row>
    <row r="34" spans="2:9" x14ac:dyDescent="0.3">
      <c r="D34" s="137"/>
      <c r="E34" s="132"/>
      <c r="G34" s="132"/>
    </row>
    <row r="35" spans="2:9" x14ac:dyDescent="0.3">
      <c r="C35" s="164"/>
      <c r="E35" s="132"/>
      <c r="G35" s="164"/>
    </row>
    <row r="36" spans="2:9" x14ac:dyDescent="0.3">
      <c r="C36" s="164"/>
      <c r="E36" s="164"/>
      <c r="G36" s="164"/>
      <c r="I36" s="164"/>
    </row>
    <row r="37" spans="2:9" x14ac:dyDescent="0.3">
      <c r="E37" s="139"/>
      <c r="F37" s="132"/>
      <c r="G37" s="164"/>
      <c r="I37" s="164"/>
    </row>
    <row r="38" spans="2:9" x14ac:dyDescent="0.3">
      <c r="B38" s="138"/>
      <c r="C38" s="146"/>
      <c r="D38" s="171"/>
      <c r="E38" s="172"/>
      <c r="G38" s="173"/>
      <c r="I38" s="173"/>
    </row>
    <row r="39" spans="2:9" x14ac:dyDescent="0.3">
      <c r="B39" s="138"/>
      <c r="C39" s="138"/>
      <c r="D39" s="140"/>
      <c r="E39" s="139"/>
    </row>
    <row r="40" spans="2:9" x14ac:dyDescent="0.3">
      <c r="B40" s="138"/>
      <c r="C40" s="138"/>
      <c r="D40" s="140"/>
      <c r="E40" s="139"/>
      <c r="G40" s="132"/>
      <c r="I40" s="132"/>
    </row>
    <row r="41" spans="2:9" x14ac:dyDescent="0.3">
      <c r="B41" s="138"/>
      <c r="C41" s="138"/>
      <c r="D41" s="140"/>
      <c r="E41" s="139"/>
      <c r="G41" s="132"/>
    </row>
    <row r="42" spans="2:9" x14ac:dyDescent="0.3">
      <c r="B42" s="138"/>
      <c r="C42" s="138"/>
      <c r="D42" s="174"/>
      <c r="E42" s="146"/>
    </row>
    <row r="43" spans="2:9" x14ac:dyDescent="0.3">
      <c r="B43" s="138"/>
      <c r="C43" s="138"/>
      <c r="D43" s="138"/>
      <c r="E43" s="139"/>
    </row>
    <row r="44" spans="2:9" x14ac:dyDescent="0.3">
      <c r="B44" s="138"/>
      <c r="C44" s="138"/>
      <c r="D44" s="138"/>
      <c r="E44" s="146"/>
    </row>
  </sheetData>
  <mergeCells count="2">
    <mergeCell ref="A2:H2"/>
    <mergeCell ref="A3:H3"/>
  </mergeCells>
  <pageMargins left="0.27" right="0.15" top="0.15748031496062992" bottom="0.15748031496062992" header="0.15748031496062992" footer="0.15748031496062992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workbookViewId="0">
      <selection activeCell="D72" sqref="D72"/>
    </sheetView>
  </sheetViews>
  <sheetFormatPr defaultRowHeight="18.75" x14ac:dyDescent="0.3"/>
  <cols>
    <col min="1" max="1" width="8.140625" style="23" customWidth="1"/>
    <col min="2" max="2" width="7.85546875" style="78" bestFit="1" customWidth="1"/>
    <col min="3" max="3" width="29.7109375" style="1" customWidth="1"/>
    <col min="4" max="4" width="10.7109375" style="78" customWidth="1"/>
    <col min="5" max="5" width="11.140625" style="78" customWidth="1"/>
    <col min="6" max="6" width="10.140625" style="307" customWidth="1"/>
    <col min="7" max="7" width="11.85546875" style="1" customWidth="1"/>
    <col min="8" max="8" width="8.5703125" style="78" customWidth="1"/>
    <col min="9" max="9" width="9.85546875" style="137" bestFit="1" customWidth="1"/>
    <col min="10" max="10" width="11.28515625" style="78" customWidth="1"/>
    <col min="11" max="11" width="13.28515625" style="132" customWidth="1"/>
    <col min="12" max="12" width="11.85546875" style="78" customWidth="1"/>
    <col min="13" max="13" width="11.28515625" style="78" customWidth="1"/>
    <col min="14" max="14" width="11" style="78" customWidth="1"/>
    <col min="15" max="16384" width="9.140625" style="78"/>
  </cols>
  <sheetData>
    <row r="1" spans="1:12" ht="17.25" x14ac:dyDescent="0.3">
      <c r="A1" s="453" t="s">
        <v>209</v>
      </c>
      <c r="B1" s="453"/>
      <c r="C1" s="453"/>
      <c r="D1" s="453"/>
      <c r="E1" s="453"/>
      <c r="F1" s="453"/>
      <c r="G1" s="453"/>
      <c r="H1" s="453"/>
    </row>
    <row r="2" spans="1:12" ht="17.25" x14ac:dyDescent="0.3">
      <c r="A2" s="453" t="s">
        <v>2143</v>
      </c>
      <c r="B2" s="453"/>
      <c r="C2" s="453"/>
      <c r="D2" s="453"/>
      <c r="E2" s="453"/>
      <c r="F2" s="453"/>
      <c r="G2" s="453"/>
      <c r="H2" s="453"/>
    </row>
    <row r="3" spans="1:12" x14ac:dyDescent="0.3">
      <c r="A3" s="101" t="s">
        <v>127</v>
      </c>
      <c r="B3" s="77"/>
      <c r="C3" s="63"/>
      <c r="D3" s="77"/>
      <c r="E3" s="152"/>
      <c r="F3" s="304"/>
      <c r="G3" s="226" t="s">
        <v>5</v>
      </c>
      <c r="H3" s="169" t="s">
        <v>754</v>
      </c>
    </row>
    <row r="4" spans="1:12" x14ac:dyDescent="0.3">
      <c r="A4" s="178" t="s">
        <v>16</v>
      </c>
      <c r="B4" s="156" t="s">
        <v>12</v>
      </c>
      <c r="C4" s="65" t="s">
        <v>4</v>
      </c>
      <c r="D4" s="82" t="s">
        <v>15</v>
      </c>
      <c r="E4" s="82" t="s">
        <v>1</v>
      </c>
      <c r="F4" s="83" t="s">
        <v>34</v>
      </c>
      <c r="G4" s="260" t="s">
        <v>2</v>
      </c>
      <c r="H4" s="81" t="s">
        <v>3</v>
      </c>
    </row>
    <row r="5" spans="1:12" x14ac:dyDescent="0.3">
      <c r="A5" s="105"/>
      <c r="B5" s="84"/>
      <c r="C5" s="68"/>
      <c r="D5" s="86" t="s">
        <v>0</v>
      </c>
      <c r="E5" s="86"/>
      <c r="F5" s="87" t="s">
        <v>35</v>
      </c>
      <c r="G5" s="261"/>
      <c r="H5" s="158"/>
    </row>
    <row r="6" spans="1:12" x14ac:dyDescent="0.3">
      <c r="A6" s="179" t="s">
        <v>755</v>
      </c>
      <c r="B6" s="97" t="s">
        <v>756</v>
      </c>
      <c r="C6" s="219" t="s">
        <v>1280</v>
      </c>
      <c r="D6" s="98"/>
      <c r="E6" s="177"/>
      <c r="F6" s="305"/>
      <c r="G6" s="262"/>
      <c r="H6" s="269" t="s">
        <v>171</v>
      </c>
    </row>
    <row r="7" spans="1:12" x14ac:dyDescent="0.3">
      <c r="A7" s="179" t="s">
        <v>1693</v>
      </c>
      <c r="B7" s="97" t="s">
        <v>1699</v>
      </c>
      <c r="C7" s="219" t="s">
        <v>67</v>
      </c>
      <c r="D7" s="98">
        <v>8000</v>
      </c>
      <c r="E7" s="303">
        <f>3600+4400</f>
        <v>8000</v>
      </c>
      <c r="F7" s="223"/>
      <c r="G7" s="262">
        <f>D7-E7-F7</f>
        <v>0</v>
      </c>
      <c r="H7" s="189" t="s">
        <v>1700</v>
      </c>
    </row>
    <row r="8" spans="1:12" x14ac:dyDescent="0.3">
      <c r="A8" s="179" t="s">
        <v>1693</v>
      </c>
      <c r="B8" s="97" t="s">
        <v>1702</v>
      </c>
      <c r="C8" s="219" t="s">
        <v>73</v>
      </c>
      <c r="D8" s="98">
        <v>8000</v>
      </c>
      <c r="E8" s="303">
        <v>8000</v>
      </c>
      <c r="F8" s="177"/>
      <c r="G8" s="262">
        <f t="shared" ref="G8:G71" si="0">D8-E8-F8</f>
        <v>0</v>
      </c>
      <c r="H8" s="189"/>
    </row>
    <row r="9" spans="1:12" x14ac:dyDescent="0.3">
      <c r="A9" s="179"/>
      <c r="B9" s="97">
        <v>3</v>
      </c>
      <c r="C9" s="219" t="s">
        <v>545</v>
      </c>
      <c r="D9" s="98">
        <v>8000</v>
      </c>
      <c r="E9" s="303">
        <v>8000</v>
      </c>
      <c r="F9" s="249"/>
      <c r="G9" s="262">
        <f t="shared" si="0"/>
        <v>0</v>
      </c>
      <c r="H9" s="189"/>
    </row>
    <row r="10" spans="1:12" x14ac:dyDescent="0.3">
      <c r="A10" s="179"/>
      <c r="B10" s="97" t="s">
        <v>2141</v>
      </c>
      <c r="C10" s="218" t="s">
        <v>79</v>
      </c>
      <c r="D10" s="98">
        <v>8000</v>
      </c>
      <c r="E10" s="98">
        <v>8000</v>
      </c>
      <c r="F10" s="177"/>
      <c r="G10" s="262">
        <f t="shared" si="0"/>
        <v>0</v>
      </c>
      <c r="H10" s="94"/>
    </row>
    <row r="11" spans="1:12" x14ac:dyDescent="0.3">
      <c r="A11" s="179"/>
      <c r="B11" s="97" t="s">
        <v>2142</v>
      </c>
      <c r="C11" s="218" t="s">
        <v>76</v>
      </c>
      <c r="D11" s="98">
        <v>8000</v>
      </c>
      <c r="E11" s="98">
        <v>8000</v>
      </c>
      <c r="F11" s="308"/>
      <c r="G11" s="262">
        <f t="shared" si="0"/>
        <v>0</v>
      </c>
      <c r="H11" s="75"/>
      <c r="K11" s="139"/>
      <c r="L11" s="138"/>
    </row>
    <row r="12" spans="1:12" x14ac:dyDescent="0.3">
      <c r="A12" s="179"/>
      <c r="B12" s="97" t="s">
        <v>1878</v>
      </c>
      <c r="C12" s="218" t="s">
        <v>62</v>
      </c>
      <c r="D12" s="98">
        <v>8000</v>
      </c>
      <c r="E12" s="98">
        <v>8000</v>
      </c>
      <c r="F12" s="305"/>
      <c r="G12" s="262">
        <f t="shared" si="0"/>
        <v>0</v>
      </c>
      <c r="H12" s="189"/>
      <c r="K12" s="139"/>
      <c r="L12" s="138"/>
    </row>
    <row r="13" spans="1:12" x14ac:dyDescent="0.3">
      <c r="A13" s="179" t="s">
        <v>1726</v>
      </c>
      <c r="B13" s="97" t="s">
        <v>1732</v>
      </c>
      <c r="C13" s="218" t="s">
        <v>78</v>
      </c>
      <c r="D13" s="98">
        <v>8000</v>
      </c>
      <c r="E13" s="303">
        <v>8000</v>
      </c>
      <c r="F13" s="305"/>
      <c r="G13" s="262">
        <f t="shared" si="0"/>
        <v>0</v>
      </c>
      <c r="H13" s="189"/>
      <c r="K13" s="139"/>
      <c r="L13" s="138"/>
    </row>
    <row r="14" spans="1:12" x14ac:dyDescent="0.3">
      <c r="A14" s="179"/>
      <c r="B14" s="97" t="s">
        <v>2105</v>
      </c>
      <c r="C14" s="218" t="s">
        <v>553</v>
      </c>
      <c r="D14" s="98">
        <v>8000</v>
      </c>
      <c r="E14" s="98">
        <v>8000</v>
      </c>
      <c r="F14" s="305"/>
      <c r="G14" s="262">
        <f t="shared" si="0"/>
        <v>0</v>
      </c>
      <c r="H14" s="189"/>
      <c r="K14" s="139"/>
      <c r="L14" s="138"/>
    </row>
    <row r="15" spans="1:12" x14ac:dyDescent="0.3">
      <c r="A15" s="179" t="s">
        <v>1606</v>
      </c>
      <c r="B15" s="97" t="s">
        <v>1610</v>
      </c>
      <c r="C15" s="219" t="s">
        <v>550</v>
      </c>
      <c r="D15" s="98">
        <v>8000</v>
      </c>
      <c r="E15" s="303">
        <v>8000</v>
      </c>
      <c r="F15" s="305"/>
      <c r="G15" s="262">
        <f t="shared" si="0"/>
        <v>0</v>
      </c>
      <c r="H15" s="189"/>
      <c r="K15" s="139"/>
      <c r="L15" s="138"/>
    </row>
    <row r="16" spans="1:12" x14ac:dyDescent="0.3">
      <c r="A16" s="179" t="s">
        <v>1863</v>
      </c>
      <c r="B16" s="97" t="s">
        <v>1885</v>
      </c>
      <c r="C16" s="219" t="s">
        <v>77</v>
      </c>
      <c r="D16" s="98">
        <v>8000</v>
      </c>
      <c r="E16" s="98">
        <v>8000</v>
      </c>
      <c r="F16" s="305"/>
      <c r="G16" s="262">
        <f t="shared" si="0"/>
        <v>0</v>
      </c>
      <c r="H16" s="189"/>
      <c r="K16" s="139"/>
      <c r="L16" s="138"/>
    </row>
    <row r="17" spans="1:12" x14ac:dyDescent="0.3">
      <c r="A17" s="179" t="s">
        <v>1464</v>
      </c>
      <c r="B17" s="97" t="s">
        <v>1517</v>
      </c>
      <c r="C17" s="219" t="s">
        <v>558</v>
      </c>
      <c r="D17" s="98">
        <v>8000</v>
      </c>
      <c r="E17" s="303">
        <v>8000</v>
      </c>
      <c r="F17" s="223"/>
      <c r="G17" s="262">
        <f t="shared" si="0"/>
        <v>0</v>
      </c>
      <c r="H17" s="189"/>
      <c r="K17" s="139"/>
      <c r="L17" s="138"/>
    </row>
    <row r="18" spans="1:12" x14ac:dyDescent="0.3">
      <c r="A18" s="179" t="s">
        <v>1625</v>
      </c>
      <c r="B18" s="97" t="s">
        <v>1626</v>
      </c>
      <c r="C18" s="219" t="s">
        <v>559</v>
      </c>
      <c r="D18" s="98">
        <v>8000</v>
      </c>
      <c r="E18" s="303">
        <v>8000</v>
      </c>
      <c r="F18" s="305"/>
      <c r="G18" s="262">
        <f t="shared" si="0"/>
        <v>0</v>
      </c>
      <c r="H18" s="189"/>
      <c r="K18" s="139"/>
      <c r="L18" s="138"/>
    </row>
    <row r="19" spans="1:12" x14ac:dyDescent="0.3">
      <c r="A19" s="179" t="s">
        <v>1842</v>
      </c>
      <c r="B19" s="97" t="s">
        <v>1887</v>
      </c>
      <c r="C19" s="219" t="s">
        <v>560</v>
      </c>
      <c r="D19" s="98">
        <v>8000</v>
      </c>
      <c r="E19" s="98">
        <v>8000</v>
      </c>
      <c r="F19" s="305"/>
      <c r="G19" s="262">
        <f t="shared" si="0"/>
        <v>0</v>
      </c>
      <c r="H19" s="189"/>
      <c r="K19" s="139"/>
      <c r="L19" s="138"/>
    </row>
    <row r="20" spans="1:12" x14ac:dyDescent="0.3">
      <c r="A20" s="179" t="s">
        <v>1734</v>
      </c>
      <c r="B20" s="97" t="s">
        <v>1738</v>
      </c>
      <c r="C20" s="219" t="s">
        <v>74</v>
      </c>
      <c r="D20" s="98">
        <v>8000</v>
      </c>
      <c r="E20" s="303">
        <v>8000</v>
      </c>
      <c r="F20" s="305"/>
      <c r="G20" s="262">
        <f t="shared" si="0"/>
        <v>0</v>
      </c>
      <c r="H20" s="189"/>
      <c r="K20" s="139"/>
      <c r="L20" s="138"/>
    </row>
    <row r="21" spans="1:12" x14ac:dyDescent="0.3">
      <c r="A21" s="179" t="s">
        <v>1606</v>
      </c>
      <c r="B21" s="97" t="s">
        <v>1620</v>
      </c>
      <c r="C21" s="219" t="s">
        <v>101</v>
      </c>
      <c r="D21" s="98">
        <v>8000</v>
      </c>
      <c r="E21" s="303">
        <v>8000</v>
      </c>
      <c r="F21" s="305"/>
      <c r="G21" s="262">
        <f t="shared" si="0"/>
        <v>0</v>
      </c>
      <c r="H21" s="189"/>
      <c r="K21" s="139"/>
      <c r="L21" s="138"/>
    </row>
    <row r="22" spans="1:12" x14ac:dyDescent="0.3">
      <c r="A22" s="179" t="s">
        <v>1701</v>
      </c>
      <c r="B22" s="97" t="s">
        <v>1730</v>
      </c>
      <c r="C22" s="219" t="s">
        <v>80</v>
      </c>
      <c r="D22" s="98">
        <v>8000</v>
      </c>
      <c r="E22" s="303">
        <v>8000</v>
      </c>
      <c r="F22" s="305"/>
      <c r="G22" s="262">
        <f t="shared" si="0"/>
        <v>0</v>
      </c>
      <c r="H22" s="189"/>
      <c r="K22" s="139"/>
      <c r="L22" s="138"/>
    </row>
    <row r="23" spans="1:12" x14ac:dyDescent="0.3">
      <c r="A23" s="179" t="s">
        <v>1693</v>
      </c>
      <c r="B23" s="97" t="s">
        <v>1696</v>
      </c>
      <c r="C23" s="219" t="s">
        <v>451</v>
      </c>
      <c r="D23" s="98">
        <v>8000</v>
      </c>
      <c r="E23" s="303">
        <v>8000</v>
      </c>
      <c r="F23" s="305"/>
      <c r="G23" s="262">
        <f t="shared" si="0"/>
        <v>0</v>
      </c>
      <c r="H23" s="189"/>
      <c r="K23" s="139"/>
      <c r="L23" s="138"/>
    </row>
    <row r="24" spans="1:12" x14ac:dyDescent="0.3">
      <c r="A24" s="179" t="s">
        <v>1734</v>
      </c>
      <c r="B24" s="97" t="s">
        <v>1737</v>
      </c>
      <c r="C24" s="219" t="s">
        <v>151</v>
      </c>
      <c r="D24" s="98">
        <v>8000</v>
      </c>
      <c r="E24" s="303">
        <v>8000</v>
      </c>
      <c r="F24" s="305"/>
      <c r="G24" s="262">
        <f t="shared" si="0"/>
        <v>0</v>
      </c>
      <c r="H24" s="189"/>
      <c r="K24" s="139"/>
      <c r="L24" s="138"/>
    </row>
    <row r="25" spans="1:12" x14ac:dyDescent="0.3">
      <c r="A25" s="179"/>
      <c r="B25" s="97" t="s">
        <v>2141</v>
      </c>
      <c r="C25" s="219" t="s">
        <v>469</v>
      </c>
      <c r="D25" s="98">
        <v>8000</v>
      </c>
      <c r="E25" s="98">
        <v>8000</v>
      </c>
      <c r="F25" s="305"/>
      <c r="G25" s="262">
        <f t="shared" si="0"/>
        <v>0</v>
      </c>
      <c r="H25" s="189"/>
      <c r="K25" s="139"/>
      <c r="L25" s="138"/>
    </row>
    <row r="26" spans="1:12" x14ac:dyDescent="0.3">
      <c r="A26" s="179" t="s">
        <v>1685</v>
      </c>
      <c r="B26" s="97" t="s">
        <v>1686</v>
      </c>
      <c r="C26" s="219" t="s">
        <v>470</v>
      </c>
      <c r="D26" s="98">
        <v>8000</v>
      </c>
      <c r="E26" s="303">
        <v>8000</v>
      </c>
      <c r="F26" s="305"/>
      <c r="G26" s="262">
        <f t="shared" si="0"/>
        <v>0</v>
      </c>
      <c r="H26" s="189"/>
      <c r="K26" s="139"/>
      <c r="L26" s="138"/>
    </row>
    <row r="27" spans="1:12" x14ac:dyDescent="0.3">
      <c r="A27" s="179" t="s">
        <v>1685</v>
      </c>
      <c r="B27" s="97" t="s">
        <v>1686</v>
      </c>
      <c r="C27" s="219" t="s">
        <v>435</v>
      </c>
      <c r="D27" s="98">
        <v>8000</v>
      </c>
      <c r="E27" s="303">
        <v>8000</v>
      </c>
      <c r="F27" s="305"/>
      <c r="G27" s="262">
        <f t="shared" si="0"/>
        <v>0</v>
      </c>
      <c r="H27" s="189"/>
      <c r="K27" s="139"/>
      <c r="L27" s="138"/>
    </row>
    <row r="28" spans="1:12" x14ac:dyDescent="0.3">
      <c r="A28" s="179"/>
      <c r="B28" s="97" t="s">
        <v>2140</v>
      </c>
      <c r="C28" s="219" t="s">
        <v>452</v>
      </c>
      <c r="D28" s="98">
        <v>8000</v>
      </c>
      <c r="E28" s="98">
        <v>8000</v>
      </c>
      <c r="F28" s="305"/>
      <c r="G28" s="262">
        <f t="shared" si="0"/>
        <v>0</v>
      </c>
      <c r="H28" s="189"/>
      <c r="K28" s="139"/>
      <c r="L28" s="138"/>
    </row>
    <row r="29" spans="1:12" x14ac:dyDescent="0.3">
      <c r="A29" s="179"/>
      <c r="B29" s="97" t="s">
        <v>2141</v>
      </c>
      <c r="C29" s="219" t="s">
        <v>442</v>
      </c>
      <c r="D29" s="98">
        <v>8000</v>
      </c>
      <c r="E29" s="98">
        <v>8000</v>
      </c>
      <c r="F29" s="305"/>
      <c r="G29" s="262">
        <f t="shared" si="0"/>
        <v>0</v>
      </c>
      <c r="H29" s="189"/>
      <c r="K29" s="139"/>
      <c r="L29" s="138"/>
    </row>
    <row r="30" spans="1:12" x14ac:dyDescent="0.3">
      <c r="A30" s="179"/>
      <c r="B30" s="97" t="s">
        <v>2105</v>
      </c>
      <c r="C30" s="219" t="s">
        <v>84</v>
      </c>
      <c r="D30" s="98">
        <v>8000</v>
      </c>
      <c r="E30" s="98">
        <v>8000</v>
      </c>
      <c r="F30" s="305"/>
      <c r="G30" s="262">
        <f t="shared" si="0"/>
        <v>0</v>
      </c>
      <c r="H30" s="189" t="s">
        <v>149</v>
      </c>
      <c r="K30" s="139"/>
      <c r="L30" s="138"/>
    </row>
    <row r="31" spans="1:12" x14ac:dyDescent="0.3">
      <c r="A31" s="179"/>
      <c r="B31" s="97" t="s">
        <v>1954</v>
      </c>
      <c r="C31" s="219" t="s">
        <v>436</v>
      </c>
      <c r="D31" s="98">
        <v>8000</v>
      </c>
      <c r="E31" s="98">
        <v>8000</v>
      </c>
      <c r="F31" s="305"/>
      <c r="G31" s="262">
        <f t="shared" si="0"/>
        <v>0</v>
      </c>
      <c r="H31" s="189"/>
      <c r="K31" s="139"/>
      <c r="L31" s="138"/>
    </row>
    <row r="32" spans="1:12" x14ac:dyDescent="0.3">
      <c r="A32" s="179" t="s">
        <v>1701</v>
      </c>
      <c r="B32" s="97" t="s">
        <v>1731</v>
      </c>
      <c r="C32" s="219" t="s">
        <v>455</v>
      </c>
      <c r="D32" s="98">
        <v>8000</v>
      </c>
      <c r="E32" s="303">
        <v>8000</v>
      </c>
      <c r="F32" s="305"/>
      <c r="G32" s="262">
        <f t="shared" si="0"/>
        <v>0</v>
      </c>
      <c r="H32" s="189"/>
      <c r="K32" s="139"/>
      <c r="L32" s="138"/>
    </row>
    <row r="33" spans="1:12" x14ac:dyDescent="0.3">
      <c r="A33" s="179" t="s">
        <v>1693</v>
      </c>
      <c r="B33" s="97" t="s">
        <v>1707</v>
      </c>
      <c r="C33" s="219" t="s">
        <v>94</v>
      </c>
      <c r="D33" s="98">
        <v>8000</v>
      </c>
      <c r="E33" s="303">
        <v>8000</v>
      </c>
      <c r="F33" s="305"/>
      <c r="G33" s="262">
        <f t="shared" si="0"/>
        <v>0</v>
      </c>
      <c r="H33" s="189"/>
      <c r="K33" s="139"/>
      <c r="L33" s="138"/>
    </row>
    <row r="34" spans="1:12" x14ac:dyDescent="0.3">
      <c r="A34" s="179" t="s">
        <v>1656</v>
      </c>
      <c r="B34" s="97" t="s">
        <v>1657</v>
      </c>
      <c r="C34" s="219" t="s">
        <v>438</v>
      </c>
      <c r="D34" s="98">
        <v>8000</v>
      </c>
      <c r="E34" s="303">
        <v>8000</v>
      </c>
      <c r="F34" s="305"/>
      <c r="G34" s="262">
        <f t="shared" si="0"/>
        <v>0</v>
      </c>
      <c r="H34" s="189"/>
      <c r="K34" s="139"/>
      <c r="L34" s="138"/>
    </row>
    <row r="35" spans="1:12" x14ac:dyDescent="0.3">
      <c r="A35" s="179"/>
      <c r="B35" s="97" t="s">
        <v>1878</v>
      </c>
      <c r="C35" s="219" t="s">
        <v>102</v>
      </c>
      <c r="D35" s="98">
        <v>8000</v>
      </c>
      <c r="E35" s="98">
        <v>8000</v>
      </c>
      <c r="F35" s="305"/>
      <c r="G35" s="262">
        <f t="shared" si="0"/>
        <v>0</v>
      </c>
      <c r="H35" s="189"/>
      <c r="K35" s="139"/>
      <c r="L35" s="138"/>
    </row>
    <row r="36" spans="1:12" x14ac:dyDescent="0.3">
      <c r="A36" s="179"/>
      <c r="B36" s="97" t="s">
        <v>1878</v>
      </c>
      <c r="C36" s="219" t="s">
        <v>69</v>
      </c>
      <c r="D36" s="98">
        <v>8000</v>
      </c>
      <c r="E36" s="98">
        <v>8000</v>
      </c>
      <c r="F36" s="305"/>
      <c r="G36" s="262">
        <f t="shared" si="0"/>
        <v>0</v>
      </c>
      <c r="H36" s="189"/>
      <c r="K36" s="139"/>
      <c r="L36" s="138"/>
    </row>
    <row r="37" spans="1:12" x14ac:dyDescent="0.3">
      <c r="A37" s="179" t="s">
        <v>1842</v>
      </c>
      <c r="B37" s="97" t="s">
        <v>1886</v>
      </c>
      <c r="C37" s="219" t="s">
        <v>71</v>
      </c>
      <c r="D37" s="98">
        <v>8000</v>
      </c>
      <c r="E37" s="98">
        <v>8000</v>
      </c>
      <c r="F37" s="305"/>
      <c r="G37" s="262">
        <f t="shared" si="0"/>
        <v>0</v>
      </c>
      <c r="H37" s="189"/>
      <c r="K37" s="139"/>
      <c r="L37" s="138"/>
    </row>
    <row r="38" spans="1:12" x14ac:dyDescent="0.3">
      <c r="A38" s="179" t="s">
        <v>1871</v>
      </c>
      <c r="B38" s="97" t="s">
        <v>1887</v>
      </c>
      <c r="C38" s="219" t="s">
        <v>1281</v>
      </c>
      <c r="D38" s="98">
        <v>8000</v>
      </c>
      <c r="E38" s="98">
        <v>8000</v>
      </c>
      <c r="F38" s="305"/>
      <c r="G38" s="262">
        <f t="shared" si="0"/>
        <v>0</v>
      </c>
      <c r="H38" s="189"/>
      <c r="K38" s="139"/>
      <c r="L38" s="138"/>
    </row>
    <row r="39" spans="1:12" x14ac:dyDescent="0.3">
      <c r="A39" s="179" t="s">
        <v>1701</v>
      </c>
      <c r="B39" s="97" t="s">
        <v>1731</v>
      </c>
      <c r="C39" s="219" t="s">
        <v>95</v>
      </c>
      <c r="D39" s="98">
        <v>8000</v>
      </c>
      <c r="E39" s="303">
        <v>8000</v>
      </c>
      <c r="F39" s="305"/>
      <c r="G39" s="262">
        <f t="shared" si="0"/>
        <v>0</v>
      </c>
      <c r="H39" s="189"/>
      <c r="K39" s="139"/>
      <c r="L39" s="138"/>
    </row>
    <row r="40" spans="1:12" x14ac:dyDescent="0.3">
      <c r="A40" s="179" t="s">
        <v>1606</v>
      </c>
      <c r="B40" s="97" t="s">
        <v>1610</v>
      </c>
      <c r="C40" s="219" t="s">
        <v>466</v>
      </c>
      <c r="D40" s="98">
        <v>8000</v>
      </c>
      <c r="E40" s="303">
        <v>8000</v>
      </c>
      <c r="F40" s="305"/>
      <c r="G40" s="262">
        <f t="shared" si="0"/>
        <v>0</v>
      </c>
      <c r="H40" s="189"/>
      <c r="K40" s="139"/>
      <c r="L40" s="138"/>
    </row>
    <row r="41" spans="1:12" x14ac:dyDescent="0.3">
      <c r="A41" s="179" t="s">
        <v>1693</v>
      </c>
      <c r="B41" s="97" t="s">
        <v>1698</v>
      </c>
      <c r="C41" s="219" t="s">
        <v>447</v>
      </c>
      <c r="D41" s="98">
        <v>8000</v>
      </c>
      <c r="E41" s="303">
        <v>8000</v>
      </c>
      <c r="F41" s="305"/>
      <c r="G41" s="262">
        <f t="shared" si="0"/>
        <v>0</v>
      </c>
      <c r="H41" s="189"/>
      <c r="K41" s="139"/>
      <c r="L41" s="138"/>
    </row>
    <row r="42" spans="1:12" x14ac:dyDescent="0.3">
      <c r="A42" s="179" t="s">
        <v>1693</v>
      </c>
      <c r="B42" s="97" t="s">
        <v>1697</v>
      </c>
      <c r="C42" s="219" t="s">
        <v>85</v>
      </c>
      <c r="D42" s="98">
        <v>8000</v>
      </c>
      <c r="E42" s="303">
        <v>8000</v>
      </c>
      <c r="F42" s="305"/>
      <c r="G42" s="262">
        <f t="shared" si="0"/>
        <v>0</v>
      </c>
      <c r="H42" s="189"/>
      <c r="K42" s="139"/>
      <c r="L42" s="138"/>
    </row>
    <row r="43" spans="1:12" x14ac:dyDescent="0.3">
      <c r="A43" s="179" t="s">
        <v>1842</v>
      </c>
      <c r="B43" s="97" t="s">
        <v>1886</v>
      </c>
      <c r="C43" s="219" t="s">
        <v>450</v>
      </c>
      <c r="D43" s="98">
        <v>8000</v>
      </c>
      <c r="E43" s="98">
        <v>8000</v>
      </c>
      <c r="F43" s="305"/>
      <c r="G43" s="262">
        <f t="shared" si="0"/>
        <v>0</v>
      </c>
      <c r="H43" s="189"/>
      <c r="K43" s="139"/>
      <c r="L43" s="138"/>
    </row>
    <row r="44" spans="1:12" x14ac:dyDescent="0.3">
      <c r="A44" s="179" t="s">
        <v>1693</v>
      </c>
      <c r="B44" s="97" t="s">
        <v>1707</v>
      </c>
      <c r="C44" s="219" t="s">
        <v>449</v>
      </c>
      <c r="D44" s="98">
        <v>8000</v>
      </c>
      <c r="E44" s="303">
        <v>8000</v>
      </c>
      <c r="F44" s="305"/>
      <c r="G44" s="262">
        <f t="shared" si="0"/>
        <v>0</v>
      </c>
      <c r="H44" s="189"/>
      <c r="K44" s="139"/>
      <c r="L44" s="138"/>
    </row>
    <row r="45" spans="1:12" x14ac:dyDescent="0.3">
      <c r="A45" s="179" t="s">
        <v>1950</v>
      </c>
      <c r="B45" s="97" t="s">
        <v>1959</v>
      </c>
      <c r="C45" s="219" t="s">
        <v>49</v>
      </c>
      <c r="D45" s="98">
        <v>8000</v>
      </c>
      <c r="E45" s="98">
        <v>8000</v>
      </c>
      <c r="F45" s="305"/>
      <c r="G45" s="262">
        <f t="shared" si="0"/>
        <v>0</v>
      </c>
      <c r="H45" s="189"/>
      <c r="K45" s="139"/>
      <c r="L45" s="138"/>
    </row>
    <row r="46" spans="1:12" x14ac:dyDescent="0.3">
      <c r="A46" s="179"/>
      <c r="B46" s="97" t="s">
        <v>1887</v>
      </c>
      <c r="C46" s="219" t="s">
        <v>448</v>
      </c>
      <c r="D46" s="98">
        <v>8000</v>
      </c>
      <c r="E46" s="98">
        <v>8000</v>
      </c>
      <c r="F46" s="305"/>
      <c r="G46" s="262">
        <f t="shared" si="0"/>
        <v>0</v>
      </c>
      <c r="H46" s="189"/>
      <c r="K46" s="139"/>
      <c r="L46" s="138"/>
    </row>
    <row r="47" spans="1:12" x14ac:dyDescent="0.3">
      <c r="A47" s="179" t="s">
        <v>1656</v>
      </c>
      <c r="B47" s="97" t="s">
        <v>1657</v>
      </c>
      <c r="C47" s="219" t="s">
        <v>1282</v>
      </c>
      <c r="D47" s="98">
        <v>8000</v>
      </c>
      <c r="E47" s="303">
        <v>8000</v>
      </c>
      <c r="F47" s="305"/>
      <c r="G47" s="262">
        <f t="shared" si="0"/>
        <v>0</v>
      </c>
      <c r="H47" s="189"/>
      <c r="K47" s="139"/>
      <c r="L47" s="138"/>
    </row>
    <row r="48" spans="1:12" x14ac:dyDescent="0.3">
      <c r="A48" s="179" t="s">
        <v>1726</v>
      </c>
      <c r="B48" s="97" t="s">
        <v>1732</v>
      </c>
      <c r="C48" s="219" t="s">
        <v>473</v>
      </c>
      <c r="D48" s="98">
        <v>8000</v>
      </c>
      <c r="E48" s="303">
        <v>8000</v>
      </c>
      <c r="F48" s="305"/>
      <c r="G48" s="262">
        <f t="shared" si="0"/>
        <v>0</v>
      </c>
      <c r="H48" s="189"/>
      <c r="K48" s="139"/>
      <c r="L48" s="138"/>
    </row>
    <row r="49" spans="1:12" x14ac:dyDescent="0.3">
      <c r="A49" s="179" t="s">
        <v>1606</v>
      </c>
      <c r="B49" s="97" t="s">
        <v>1621</v>
      </c>
      <c r="C49" s="219" t="s">
        <v>38</v>
      </c>
      <c r="D49" s="98">
        <v>8000</v>
      </c>
      <c r="E49" s="303">
        <v>8000</v>
      </c>
      <c r="F49" s="305"/>
      <c r="G49" s="262">
        <f t="shared" si="0"/>
        <v>0</v>
      </c>
      <c r="H49" s="189"/>
      <c r="K49" s="139"/>
      <c r="L49" s="138"/>
    </row>
    <row r="50" spans="1:12" x14ac:dyDescent="0.3">
      <c r="A50" s="179" t="s">
        <v>1685</v>
      </c>
      <c r="B50" s="97" t="s">
        <v>1686</v>
      </c>
      <c r="C50" s="219" t="s">
        <v>475</v>
      </c>
      <c r="D50" s="98">
        <v>8000</v>
      </c>
      <c r="E50" s="303">
        <v>8000</v>
      </c>
      <c r="F50" s="305"/>
      <c r="G50" s="262">
        <f t="shared" si="0"/>
        <v>0</v>
      </c>
      <c r="H50" s="189"/>
      <c r="K50" s="139"/>
      <c r="L50" s="138"/>
    </row>
    <row r="51" spans="1:12" x14ac:dyDescent="0.3">
      <c r="A51" s="179" t="s">
        <v>1685</v>
      </c>
      <c r="B51" s="97" t="s">
        <v>1686</v>
      </c>
      <c r="C51" s="219" t="s">
        <v>86</v>
      </c>
      <c r="D51" s="98">
        <v>8000</v>
      </c>
      <c r="E51" s="303">
        <v>8000</v>
      </c>
      <c r="F51" s="305"/>
      <c r="G51" s="262">
        <f t="shared" si="0"/>
        <v>0</v>
      </c>
      <c r="H51" s="189"/>
      <c r="K51" s="139"/>
      <c r="L51" s="138"/>
    </row>
    <row r="52" spans="1:12" x14ac:dyDescent="0.3">
      <c r="A52" s="179"/>
      <c r="B52" s="97" t="s">
        <v>2140</v>
      </c>
      <c r="C52" s="219" t="s">
        <v>65</v>
      </c>
      <c r="D52" s="98">
        <v>8000</v>
      </c>
      <c r="E52" s="98">
        <v>8000</v>
      </c>
      <c r="F52" s="305"/>
      <c r="G52" s="262">
        <f t="shared" si="0"/>
        <v>0</v>
      </c>
      <c r="H52" s="189"/>
      <c r="K52" s="139"/>
      <c r="L52" s="138"/>
    </row>
    <row r="53" spans="1:12" x14ac:dyDescent="0.3">
      <c r="A53" s="179" t="s">
        <v>1693</v>
      </c>
      <c r="B53" s="97" t="s">
        <v>1695</v>
      </c>
      <c r="C53" s="219" t="s">
        <v>491</v>
      </c>
      <c r="D53" s="98">
        <v>8000</v>
      </c>
      <c r="E53" s="303">
        <v>8000</v>
      </c>
      <c r="F53" s="305"/>
      <c r="G53" s="262">
        <f t="shared" si="0"/>
        <v>0</v>
      </c>
      <c r="H53" s="189"/>
      <c r="K53" s="139"/>
      <c r="L53" s="138"/>
    </row>
    <row r="54" spans="1:12" x14ac:dyDescent="0.3">
      <c r="A54" s="179"/>
      <c r="B54" s="97" t="s">
        <v>2105</v>
      </c>
      <c r="C54" s="219" t="s">
        <v>87</v>
      </c>
      <c r="D54" s="98">
        <v>8000</v>
      </c>
      <c r="E54" s="98">
        <v>8000</v>
      </c>
      <c r="F54" s="305"/>
      <c r="G54" s="262">
        <f t="shared" si="0"/>
        <v>0</v>
      </c>
      <c r="H54" s="189"/>
      <c r="K54" s="139"/>
      <c r="L54" s="138"/>
    </row>
    <row r="55" spans="1:12" x14ac:dyDescent="0.3">
      <c r="A55" s="179" t="s">
        <v>1842</v>
      </c>
      <c r="B55" s="97" t="s">
        <v>1886</v>
      </c>
      <c r="C55" s="219" t="s">
        <v>104</v>
      </c>
      <c r="D55" s="98">
        <v>8000</v>
      </c>
      <c r="E55" s="98">
        <v>8000</v>
      </c>
      <c r="F55" s="305"/>
      <c r="G55" s="262">
        <f t="shared" si="0"/>
        <v>0</v>
      </c>
      <c r="H55" s="189"/>
      <c r="K55" s="139"/>
      <c r="L55" s="138"/>
    </row>
    <row r="56" spans="1:12" x14ac:dyDescent="0.3">
      <c r="A56" s="179" t="s">
        <v>1693</v>
      </c>
      <c r="B56" s="97" t="s">
        <v>1703</v>
      </c>
      <c r="C56" s="219" t="s">
        <v>476</v>
      </c>
      <c r="D56" s="98">
        <v>8000</v>
      </c>
      <c r="E56" s="303">
        <v>8000</v>
      </c>
      <c r="F56" s="305"/>
      <c r="G56" s="262">
        <f t="shared" si="0"/>
        <v>0</v>
      </c>
      <c r="H56" s="189"/>
      <c r="K56" s="139"/>
      <c r="L56" s="138"/>
    </row>
    <row r="57" spans="1:12" x14ac:dyDescent="0.3">
      <c r="A57" s="179" t="s">
        <v>2015</v>
      </c>
      <c r="B57" s="97" t="s">
        <v>2055</v>
      </c>
      <c r="C57" s="219" t="s">
        <v>97</v>
      </c>
      <c r="D57" s="98">
        <v>8000</v>
      </c>
      <c r="E57" s="98">
        <v>8000</v>
      </c>
      <c r="F57" s="305"/>
      <c r="G57" s="262">
        <f t="shared" si="0"/>
        <v>0</v>
      </c>
      <c r="H57" s="189"/>
      <c r="K57" s="139"/>
      <c r="L57" s="138"/>
    </row>
    <row r="58" spans="1:12" x14ac:dyDescent="0.3">
      <c r="A58" s="179"/>
      <c r="B58" s="97" t="s">
        <v>2140</v>
      </c>
      <c r="C58" s="219" t="s">
        <v>480</v>
      </c>
      <c r="D58" s="98">
        <v>8000</v>
      </c>
      <c r="E58" s="98">
        <v>8000</v>
      </c>
      <c r="F58" s="305"/>
      <c r="G58" s="262">
        <f t="shared" si="0"/>
        <v>0</v>
      </c>
      <c r="H58" s="189"/>
      <c r="K58" s="139"/>
      <c r="L58" s="138"/>
    </row>
    <row r="59" spans="1:12" x14ac:dyDescent="0.3">
      <c r="A59" s="179" t="s">
        <v>1701</v>
      </c>
      <c r="B59" s="97" t="s">
        <v>1730</v>
      </c>
      <c r="C59" s="219" t="s">
        <v>495</v>
      </c>
      <c r="D59" s="98">
        <v>8000</v>
      </c>
      <c r="E59" s="303">
        <v>8000</v>
      </c>
      <c r="F59" s="305"/>
      <c r="G59" s="262">
        <f t="shared" si="0"/>
        <v>0</v>
      </c>
      <c r="H59" s="189"/>
      <c r="K59" s="139"/>
      <c r="L59" s="138"/>
    </row>
    <row r="60" spans="1:12" x14ac:dyDescent="0.3">
      <c r="A60" s="179"/>
      <c r="B60" s="97" t="s">
        <v>1878</v>
      </c>
      <c r="C60" s="219" t="s">
        <v>53</v>
      </c>
      <c r="D60" s="98">
        <v>8000</v>
      </c>
      <c r="E60" s="98">
        <v>8000</v>
      </c>
      <c r="F60" s="305"/>
      <c r="G60" s="262">
        <f t="shared" si="0"/>
        <v>0</v>
      </c>
      <c r="H60" s="189"/>
      <c r="K60" s="139"/>
      <c r="L60" s="138"/>
    </row>
    <row r="61" spans="1:12" x14ac:dyDescent="0.3">
      <c r="A61" s="179" t="s">
        <v>1701</v>
      </c>
      <c r="B61" s="97" t="s">
        <v>1731</v>
      </c>
      <c r="C61" s="219" t="s">
        <v>1283</v>
      </c>
      <c r="D61" s="98">
        <v>8000</v>
      </c>
      <c r="E61" s="303">
        <f>4750+3250</f>
        <v>8000</v>
      </c>
      <c r="F61" s="305"/>
      <c r="G61" s="262">
        <f t="shared" si="0"/>
        <v>0</v>
      </c>
      <c r="H61" s="189" t="s">
        <v>1736</v>
      </c>
      <c r="K61" s="139"/>
      <c r="L61" s="138"/>
    </row>
    <row r="62" spans="1:12" x14ac:dyDescent="0.3">
      <c r="A62" s="179"/>
      <c r="B62" s="97" t="s">
        <v>2412</v>
      </c>
      <c r="C62" s="219" t="s">
        <v>538</v>
      </c>
      <c r="D62" s="98">
        <v>8000</v>
      </c>
      <c r="E62" s="303">
        <f t="shared" ref="E62:E63" si="1">4750+3250</f>
        <v>8000</v>
      </c>
      <c r="F62" s="135"/>
      <c r="G62" s="262">
        <f t="shared" si="0"/>
        <v>0</v>
      </c>
      <c r="H62" s="189"/>
      <c r="K62" s="139"/>
      <c r="L62" s="138"/>
    </row>
    <row r="63" spans="1:12" x14ac:dyDescent="0.3">
      <c r="A63" s="179"/>
      <c r="B63" s="97" t="s">
        <v>2412</v>
      </c>
      <c r="C63" s="219" t="s">
        <v>531</v>
      </c>
      <c r="D63" s="98">
        <v>8000</v>
      </c>
      <c r="E63" s="303">
        <f t="shared" si="1"/>
        <v>8000</v>
      </c>
      <c r="F63" s="135"/>
      <c r="G63" s="262">
        <f t="shared" si="0"/>
        <v>0</v>
      </c>
      <c r="H63" s="189"/>
      <c r="K63" s="309"/>
      <c r="L63" s="138"/>
    </row>
    <row r="64" spans="1:12" x14ac:dyDescent="0.3">
      <c r="A64" s="179"/>
      <c r="B64" s="97" t="s">
        <v>2139</v>
      </c>
      <c r="C64" s="219" t="s">
        <v>91</v>
      </c>
      <c r="D64" s="98">
        <v>8000</v>
      </c>
      <c r="E64" s="98">
        <v>8000</v>
      </c>
      <c r="F64" s="305"/>
      <c r="G64" s="262">
        <f t="shared" si="0"/>
        <v>0</v>
      </c>
      <c r="H64" s="189"/>
      <c r="K64" s="139"/>
      <c r="L64" s="138"/>
    </row>
    <row r="65" spans="1:15" x14ac:dyDescent="0.3">
      <c r="A65" s="179" t="s">
        <v>1656</v>
      </c>
      <c r="B65" s="97" t="s">
        <v>1657</v>
      </c>
      <c r="C65" s="219" t="s">
        <v>100</v>
      </c>
      <c r="D65" s="98">
        <v>8000</v>
      </c>
      <c r="E65" s="303">
        <v>8000</v>
      </c>
      <c r="F65" s="305"/>
      <c r="G65" s="262">
        <f t="shared" si="0"/>
        <v>0</v>
      </c>
      <c r="H65" s="189"/>
      <c r="K65" s="139"/>
      <c r="L65" s="138"/>
    </row>
    <row r="66" spans="1:15" x14ac:dyDescent="0.3">
      <c r="A66" s="179"/>
      <c r="B66" s="97" t="s">
        <v>2209</v>
      </c>
      <c r="C66" s="219" t="s">
        <v>506</v>
      </c>
      <c r="D66" s="98">
        <v>8000</v>
      </c>
      <c r="E66" s="98">
        <v>8000</v>
      </c>
      <c r="F66" s="305"/>
      <c r="G66" s="262">
        <f t="shared" si="0"/>
        <v>0</v>
      </c>
      <c r="H66" s="189"/>
      <c r="K66" s="139"/>
      <c r="L66" s="138"/>
    </row>
    <row r="67" spans="1:15" x14ac:dyDescent="0.3">
      <c r="A67" s="179"/>
      <c r="B67" s="97">
        <v>61</v>
      </c>
      <c r="C67" s="219" t="s">
        <v>1284</v>
      </c>
      <c r="D67" s="98">
        <v>8000</v>
      </c>
      <c r="E67" s="303">
        <v>8000</v>
      </c>
      <c r="F67" s="305"/>
      <c r="G67" s="262">
        <f t="shared" si="0"/>
        <v>0</v>
      </c>
      <c r="H67" s="189"/>
      <c r="K67" s="139"/>
      <c r="L67" s="138"/>
    </row>
    <row r="68" spans="1:15" x14ac:dyDescent="0.3">
      <c r="A68" s="179" t="s">
        <v>2137</v>
      </c>
      <c r="B68" s="97" t="s">
        <v>2139</v>
      </c>
      <c r="C68" s="219" t="s">
        <v>507</v>
      </c>
      <c r="D68" s="98">
        <v>8000</v>
      </c>
      <c r="E68" s="98">
        <v>8000</v>
      </c>
      <c r="F68" s="305"/>
      <c r="G68" s="262">
        <f t="shared" si="0"/>
        <v>0</v>
      </c>
      <c r="H68" s="189"/>
      <c r="K68" s="139"/>
      <c r="L68" s="138"/>
    </row>
    <row r="69" spans="1:15" x14ac:dyDescent="0.3">
      <c r="A69" s="179" t="s">
        <v>1842</v>
      </c>
      <c r="B69" s="97" t="s">
        <v>1886</v>
      </c>
      <c r="C69" s="219" t="s">
        <v>509</v>
      </c>
      <c r="D69" s="98">
        <v>8000</v>
      </c>
      <c r="E69" s="98">
        <v>8000</v>
      </c>
      <c r="F69" s="305"/>
      <c r="G69" s="262">
        <f t="shared" si="0"/>
        <v>0</v>
      </c>
      <c r="H69" s="189"/>
      <c r="K69" s="139"/>
      <c r="L69" s="138"/>
    </row>
    <row r="70" spans="1:15" x14ac:dyDescent="0.3">
      <c r="A70" s="179" t="s">
        <v>1734</v>
      </c>
      <c r="B70" s="97" t="s">
        <v>1735</v>
      </c>
      <c r="C70" s="219" t="s">
        <v>66</v>
      </c>
      <c r="D70" s="98">
        <v>8000</v>
      </c>
      <c r="E70" s="303">
        <v>8000</v>
      </c>
      <c r="F70" s="305"/>
      <c r="G70" s="262">
        <f t="shared" si="0"/>
        <v>0</v>
      </c>
      <c r="H70" s="189"/>
      <c r="K70" s="139"/>
      <c r="L70" s="138"/>
    </row>
    <row r="71" spans="1:15" x14ac:dyDescent="0.3">
      <c r="A71" s="179" t="s">
        <v>1606</v>
      </c>
      <c r="B71" s="97" t="s">
        <v>1622</v>
      </c>
      <c r="C71" s="219" t="s">
        <v>515</v>
      </c>
      <c r="D71" s="98">
        <v>8000</v>
      </c>
      <c r="E71" s="303">
        <v>8000</v>
      </c>
      <c r="F71" s="305"/>
      <c r="G71" s="262">
        <f t="shared" si="0"/>
        <v>0</v>
      </c>
      <c r="H71" s="189"/>
      <c r="K71" s="139"/>
      <c r="L71" s="138"/>
    </row>
    <row r="72" spans="1:15" x14ac:dyDescent="0.3">
      <c r="A72" s="179"/>
      <c r="B72" s="97" t="s">
        <v>2105</v>
      </c>
      <c r="C72" s="219" t="s">
        <v>533</v>
      </c>
      <c r="D72" s="98">
        <v>8000</v>
      </c>
      <c r="E72" s="98">
        <v>8000</v>
      </c>
      <c r="F72" s="305"/>
      <c r="G72" s="262">
        <f t="shared" ref="G72:G74" si="2">D72-E72-F72</f>
        <v>0</v>
      </c>
      <c r="H72" s="189"/>
      <c r="K72" s="139"/>
      <c r="L72" s="138"/>
    </row>
    <row r="73" spans="1:15" x14ac:dyDescent="0.3">
      <c r="A73" s="179"/>
      <c r="B73" s="97" t="s">
        <v>2141</v>
      </c>
      <c r="C73" s="219" t="s">
        <v>541</v>
      </c>
      <c r="D73" s="98">
        <v>8000</v>
      </c>
      <c r="E73" s="98">
        <v>8000</v>
      </c>
      <c r="F73" s="305"/>
      <c r="G73" s="262">
        <f t="shared" si="2"/>
        <v>0</v>
      </c>
      <c r="H73" s="189"/>
      <c r="K73" s="139"/>
      <c r="L73" s="138"/>
    </row>
    <row r="74" spans="1:15" x14ac:dyDescent="0.3">
      <c r="A74" s="179" t="s">
        <v>1693</v>
      </c>
      <c r="B74" s="97" t="s">
        <v>1694</v>
      </c>
      <c r="C74" s="219" t="s">
        <v>537</v>
      </c>
      <c r="D74" s="98">
        <v>8000</v>
      </c>
      <c r="E74" s="303">
        <v>8000</v>
      </c>
      <c r="F74" s="305"/>
      <c r="G74" s="262">
        <f t="shared" si="2"/>
        <v>0</v>
      </c>
      <c r="H74" s="189"/>
      <c r="K74" s="139"/>
      <c r="L74" s="138"/>
    </row>
    <row r="75" spans="1:15" ht="19.5" thickBot="1" x14ac:dyDescent="0.35">
      <c r="A75" s="108"/>
      <c r="B75" s="143"/>
      <c r="C75" s="220" t="s">
        <v>107</v>
      </c>
      <c r="D75" s="170">
        <f>SUM(D7:D74)</f>
        <v>544000</v>
      </c>
      <c r="E75" s="170">
        <f>SUM(E6:E74)</f>
        <v>544000</v>
      </c>
      <c r="F75" s="162">
        <f>SUM(F6:F74)</f>
        <v>0</v>
      </c>
      <c r="G75" s="277">
        <f>D75-E75-F75</f>
        <v>0</v>
      </c>
      <c r="H75" s="94"/>
      <c r="K75" s="139"/>
      <c r="L75" s="138"/>
    </row>
    <row r="76" spans="1:15" ht="19.5" thickTop="1" x14ac:dyDescent="0.3">
      <c r="D76" s="137"/>
      <c r="F76" s="306"/>
      <c r="G76" s="263"/>
      <c r="J76" s="155"/>
      <c r="K76" s="139"/>
      <c r="L76" s="138"/>
    </row>
    <row r="77" spans="1:15" x14ac:dyDescent="0.3">
      <c r="D77" s="137"/>
      <c r="E77" s="132"/>
      <c r="F77" s="173"/>
      <c r="G77" s="8"/>
      <c r="J77" s="155"/>
    </row>
    <row r="78" spans="1:15" x14ac:dyDescent="0.3">
      <c r="D78" s="137"/>
      <c r="E78" s="132"/>
      <c r="G78" s="8"/>
      <c r="J78" s="132"/>
      <c r="M78" s="132"/>
    </row>
    <row r="79" spans="1:15" x14ac:dyDescent="0.3">
      <c r="C79" s="50"/>
      <c r="E79" s="132"/>
      <c r="G79" s="50"/>
      <c r="M79" s="132"/>
    </row>
    <row r="80" spans="1:15" x14ac:dyDescent="0.3">
      <c r="C80" s="50"/>
      <c r="E80" s="164"/>
      <c r="G80" s="50"/>
      <c r="M80" s="164"/>
      <c r="O80" s="164"/>
    </row>
    <row r="81" spans="2:15" x14ac:dyDescent="0.3">
      <c r="E81" s="139"/>
      <c r="F81" s="245"/>
      <c r="G81" s="50"/>
      <c r="M81" s="132"/>
      <c r="N81" s="132"/>
      <c r="O81" s="164"/>
    </row>
    <row r="82" spans="2:15" x14ac:dyDescent="0.3">
      <c r="B82" s="138"/>
      <c r="C82" s="59"/>
      <c r="D82" s="171"/>
      <c r="E82" s="172"/>
      <c r="G82" s="264"/>
      <c r="O82" s="173"/>
    </row>
    <row r="83" spans="2:15" x14ac:dyDescent="0.3">
      <c r="B83" s="138"/>
      <c r="C83" s="4"/>
      <c r="D83" s="140"/>
      <c r="E83" s="139"/>
    </row>
    <row r="84" spans="2:15" x14ac:dyDescent="0.3">
      <c r="B84" s="138"/>
      <c r="C84" s="4"/>
      <c r="D84" s="140"/>
      <c r="E84" s="139"/>
      <c r="G84" s="8"/>
      <c r="O84" s="132"/>
    </row>
    <row r="85" spans="2:15" x14ac:dyDescent="0.3">
      <c r="B85" s="138"/>
      <c r="C85" s="4"/>
      <c r="D85" s="140"/>
      <c r="E85" s="139"/>
      <c r="G85" s="8"/>
    </row>
    <row r="86" spans="2:15" x14ac:dyDescent="0.3">
      <c r="B86" s="138"/>
      <c r="C86" s="4"/>
      <c r="D86" s="174"/>
      <c r="E86" s="146"/>
    </row>
    <row r="87" spans="2:15" x14ac:dyDescent="0.3">
      <c r="B87" s="138"/>
      <c r="C87" s="4"/>
      <c r="D87" s="138"/>
      <c r="E87" s="139"/>
    </row>
    <row r="88" spans="2:15" x14ac:dyDescent="0.3">
      <c r="B88" s="138"/>
      <c r="C88" s="4"/>
      <c r="D88" s="138"/>
      <c r="E88" s="146"/>
    </row>
  </sheetData>
  <mergeCells count="2">
    <mergeCell ref="A1:H1"/>
    <mergeCell ref="A2:H2"/>
  </mergeCells>
  <pageMargins left="0.2" right="0.15" top="0.15748031496062992" bottom="0.15748031496062992" header="0.15748031496062992" footer="0.15748031496062992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4"/>
  <sheetViews>
    <sheetView workbookViewId="0">
      <selection activeCell="J7" sqref="J7"/>
    </sheetView>
  </sheetViews>
  <sheetFormatPr defaultRowHeight="18.75" x14ac:dyDescent="0.3"/>
  <cols>
    <col min="1" max="1" width="8.140625" style="23" customWidth="1"/>
    <col min="2" max="2" width="7.85546875" style="78" bestFit="1" customWidth="1"/>
    <col min="3" max="3" width="25.42578125" style="1" customWidth="1"/>
    <col min="4" max="4" width="10.85546875" style="78" customWidth="1"/>
    <col min="5" max="5" width="11.140625" style="271" customWidth="1"/>
    <col min="6" max="6" width="11.28515625" style="307" customWidth="1"/>
    <col min="7" max="7" width="10.7109375" style="1" customWidth="1"/>
    <col min="8" max="8" width="9.7109375" style="78" customWidth="1"/>
    <col min="9" max="9" width="9.85546875" style="137" bestFit="1" customWidth="1"/>
    <col min="10" max="16384" width="9.140625" style="78"/>
  </cols>
  <sheetData>
    <row r="2" spans="1:8" ht="17.25" x14ac:dyDescent="0.3">
      <c r="A2" s="453" t="s">
        <v>209</v>
      </c>
      <c r="B2" s="453"/>
      <c r="C2" s="453"/>
      <c r="D2" s="453"/>
      <c r="E2" s="453"/>
      <c r="F2" s="453"/>
      <c r="G2" s="453"/>
      <c r="H2" s="453"/>
    </row>
    <row r="3" spans="1:8" ht="17.25" x14ac:dyDescent="0.3">
      <c r="A3" s="453" t="s">
        <v>2348</v>
      </c>
      <c r="B3" s="453"/>
      <c r="C3" s="453"/>
      <c r="D3" s="453"/>
      <c r="E3" s="453"/>
      <c r="F3" s="453"/>
      <c r="G3" s="453"/>
      <c r="H3" s="453"/>
    </row>
    <row r="4" spans="1:8" x14ac:dyDescent="0.3">
      <c r="A4" s="101" t="s">
        <v>127</v>
      </c>
      <c r="B4" s="77"/>
      <c r="C4" s="63"/>
      <c r="D4" s="77"/>
      <c r="E4" s="276"/>
      <c r="F4" s="304"/>
      <c r="G4" s="226" t="s">
        <v>5</v>
      </c>
      <c r="H4" s="169" t="s">
        <v>754</v>
      </c>
    </row>
    <row r="5" spans="1:8" ht="17.25" x14ac:dyDescent="0.3">
      <c r="A5" s="178" t="s">
        <v>16</v>
      </c>
      <c r="B5" s="178" t="s">
        <v>12</v>
      </c>
      <c r="C5" s="104" t="s">
        <v>4</v>
      </c>
      <c r="D5" s="311" t="s">
        <v>15</v>
      </c>
      <c r="E5" s="312" t="s">
        <v>1</v>
      </c>
      <c r="F5" s="313" t="s">
        <v>34</v>
      </c>
      <c r="G5" s="314" t="s">
        <v>2</v>
      </c>
      <c r="H5" s="104" t="s">
        <v>3</v>
      </c>
    </row>
    <row r="6" spans="1:8" ht="17.25" x14ac:dyDescent="0.3">
      <c r="A6" s="105"/>
      <c r="B6" s="105"/>
      <c r="C6" s="315"/>
      <c r="D6" s="316" t="s">
        <v>0</v>
      </c>
      <c r="E6" s="317"/>
      <c r="F6" s="318" t="s">
        <v>35</v>
      </c>
      <c r="G6" s="319"/>
      <c r="H6" s="320"/>
    </row>
    <row r="7" spans="1:8" ht="17.25" x14ac:dyDescent="0.3">
      <c r="A7" s="179" t="s">
        <v>755</v>
      </c>
      <c r="B7" s="321" t="s">
        <v>756</v>
      </c>
      <c r="C7" s="188" t="s">
        <v>1280</v>
      </c>
      <c r="D7" s="322"/>
      <c r="E7" s="323"/>
      <c r="F7" s="324"/>
      <c r="G7" s="325"/>
      <c r="H7" s="269"/>
    </row>
    <row r="8" spans="1:8" ht="17.25" x14ac:dyDescent="0.3">
      <c r="A8" s="179"/>
      <c r="B8" s="321" t="s">
        <v>2301</v>
      </c>
      <c r="C8" s="326" t="s">
        <v>457</v>
      </c>
      <c r="D8" s="327">
        <v>9250</v>
      </c>
      <c r="E8" s="327">
        <v>9250</v>
      </c>
      <c r="F8" s="328"/>
      <c r="G8" s="325">
        <f>D8-E8-F8</f>
        <v>0</v>
      </c>
      <c r="H8" s="269"/>
    </row>
    <row r="9" spans="1:8" ht="17.25" x14ac:dyDescent="0.3">
      <c r="A9" s="179" t="s">
        <v>1866</v>
      </c>
      <c r="B9" s="321" t="s">
        <v>1867</v>
      </c>
      <c r="C9" s="222" t="s">
        <v>434</v>
      </c>
      <c r="D9" s="54">
        <v>9250</v>
      </c>
      <c r="E9" s="54">
        <v>9250</v>
      </c>
      <c r="F9" s="329"/>
      <c r="G9" s="325">
        <f t="shared" ref="G9:G72" si="0">D9-E9-F9</f>
        <v>0</v>
      </c>
      <c r="H9" s="269"/>
    </row>
    <row r="10" spans="1:8" ht="17.25" x14ac:dyDescent="0.3">
      <c r="A10" s="179" t="s">
        <v>1863</v>
      </c>
      <c r="B10" s="321" t="s">
        <v>1873</v>
      </c>
      <c r="C10" s="222" t="s">
        <v>468</v>
      </c>
      <c r="D10" s="54">
        <v>9250</v>
      </c>
      <c r="E10" s="54">
        <v>9250</v>
      </c>
      <c r="F10" s="329"/>
      <c r="G10" s="325">
        <f t="shared" si="0"/>
        <v>0</v>
      </c>
      <c r="H10" s="269"/>
    </row>
    <row r="11" spans="1:8" ht="17.25" x14ac:dyDescent="0.3">
      <c r="A11" s="179" t="s">
        <v>1863</v>
      </c>
      <c r="B11" s="321" t="s">
        <v>1873</v>
      </c>
      <c r="C11" s="222" t="s">
        <v>460</v>
      </c>
      <c r="D11" s="54">
        <v>9250</v>
      </c>
      <c r="E11" s="54">
        <v>9250</v>
      </c>
      <c r="F11" s="329"/>
      <c r="G11" s="325">
        <f t="shared" si="0"/>
        <v>0</v>
      </c>
      <c r="H11" s="75"/>
    </row>
    <row r="12" spans="1:8" ht="17.25" x14ac:dyDescent="0.3">
      <c r="A12" s="179"/>
      <c r="B12" s="321" t="s">
        <v>2036</v>
      </c>
      <c r="C12" s="222" t="s">
        <v>433</v>
      </c>
      <c r="D12" s="54">
        <v>9250</v>
      </c>
      <c r="E12" s="54">
        <v>9250</v>
      </c>
      <c r="F12" s="329"/>
      <c r="G12" s="325">
        <f t="shared" si="0"/>
        <v>0</v>
      </c>
      <c r="H12" s="75"/>
    </row>
    <row r="13" spans="1:8" ht="17.25" x14ac:dyDescent="0.3">
      <c r="A13" s="179" t="s">
        <v>1866</v>
      </c>
      <c r="B13" s="321" t="s">
        <v>1867</v>
      </c>
      <c r="C13" s="222" t="s">
        <v>444</v>
      </c>
      <c r="D13" s="54">
        <v>9250</v>
      </c>
      <c r="E13" s="54">
        <v>9250</v>
      </c>
      <c r="F13" s="324"/>
      <c r="G13" s="325">
        <f t="shared" si="0"/>
        <v>0</v>
      </c>
      <c r="H13" s="269"/>
    </row>
    <row r="14" spans="1:8" ht="17.25" x14ac:dyDescent="0.3">
      <c r="A14" s="179" t="s">
        <v>1670</v>
      </c>
      <c r="B14" s="321" t="s">
        <v>1675</v>
      </c>
      <c r="C14" s="222" t="s">
        <v>81</v>
      </c>
      <c r="D14" s="54">
        <v>9250</v>
      </c>
      <c r="E14" s="54">
        <v>9250</v>
      </c>
      <c r="F14" s="324"/>
      <c r="G14" s="325">
        <f t="shared" si="0"/>
        <v>0</v>
      </c>
      <c r="H14" s="269"/>
    </row>
    <row r="15" spans="1:8" ht="17.25" x14ac:dyDescent="0.3">
      <c r="A15" s="179"/>
      <c r="B15" s="321">
        <v>8</v>
      </c>
      <c r="C15" s="222" t="s">
        <v>456</v>
      </c>
      <c r="D15" s="54">
        <v>9250</v>
      </c>
      <c r="E15" s="54">
        <v>9250</v>
      </c>
      <c r="F15" s="324"/>
      <c r="G15" s="325">
        <f t="shared" si="0"/>
        <v>0</v>
      </c>
      <c r="H15" s="269"/>
    </row>
    <row r="16" spans="1:8" ht="17.25" x14ac:dyDescent="0.3">
      <c r="A16" s="179"/>
      <c r="B16" s="321" t="s">
        <v>2301</v>
      </c>
      <c r="C16" s="222" t="s">
        <v>463</v>
      </c>
      <c r="D16" s="54">
        <v>9250</v>
      </c>
      <c r="E16" s="54">
        <v>9250</v>
      </c>
      <c r="F16" s="324"/>
      <c r="G16" s="325">
        <f t="shared" si="0"/>
        <v>0</v>
      </c>
      <c r="H16" s="269"/>
    </row>
    <row r="17" spans="1:8" ht="17.25" x14ac:dyDescent="0.3">
      <c r="A17" s="179" t="s">
        <v>1866</v>
      </c>
      <c r="B17" s="321" t="s">
        <v>1869</v>
      </c>
      <c r="C17" s="222" t="s">
        <v>465</v>
      </c>
      <c r="D17" s="54">
        <v>9250</v>
      </c>
      <c r="E17" s="54">
        <v>9250</v>
      </c>
      <c r="F17" s="324"/>
      <c r="G17" s="325">
        <f t="shared" si="0"/>
        <v>0</v>
      </c>
      <c r="H17" s="269"/>
    </row>
    <row r="18" spans="1:8" ht="17.25" x14ac:dyDescent="0.3">
      <c r="A18" s="179"/>
      <c r="B18" s="321" t="s">
        <v>2302</v>
      </c>
      <c r="C18" s="222" t="s">
        <v>471</v>
      </c>
      <c r="D18" s="54">
        <v>9250</v>
      </c>
      <c r="E18" s="54">
        <v>9250</v>
      </c>
      <c r="F18" s="328"/>
      <c r="G18" s="325">
        <f t="shared" si="0"/>
        <v>0</v>
      </c>
      <c r="H18" s="269"/>
    </row>
    <row r="19" spans="1:8" ht="17.25" x14ac:dyDescent="0.3">
      <c r="A19" s="179" t="s">
        <v>1592</v>
      </c>
      <c r="B19" s="321" t="s">
        <v>1673</v>
      </c>
      <c r="C19" s="222" t="s">
        <v>48</v>
      </c>
      <c r="D19" s="54">
        <v>9250</v>
      </c>
      <c r="E19" s="54">
        <v>9250</v>
      </c>
      <c r="F19" s="324"/>
      <c r="G19" s="325">
        <f t="shared" si="0"/>
        <v>0</v>
      </c>
      <c r="H19" s="269"/>
    </row>
    <row r="20" spans="1:8" ht="17.25" x14ac:dyDescent="0.3">
      <c r="A20" s="179" t="s">
        <v>1693</v>
      </c>
      <c r="B20" s="321" t="s">
        <v>1711</v>
      </c>
      <c r="C20" s="222" t="s">
        <v>458</v>
      </c>
      <c r="D20" s="54">
        <v>9250</v>
      </c>
      <c r="E20" s="54">
        <v>8250</v>
      </c>
      <c r="F20" s="324"/>
      <c r="G20" s="325">
        <f t="shared" si="0"/>
        <v>1000</v>
      </c>
      <c r="H20" s="269"/>
    </row>
    <row r="21" spans="1:8" ht="17.25" x14ac:dyDescent="0.3">
      <c r="A21" s="179" t="s">
        <v>1498</v>
      </c>
      <c r="B21" s="321" t="s">
        <v>1546</v>
      </c>
      <c r="C21" s="222" t="s">
        <v>445</v>
      </c>
      <c r="D21" s="54">
        <v>9250</v>
      </c>
      <c r="E21" s="323">
        <v>9250</v>
      </c>
      <c r="F21" s="324"/>
      <c r="G21" s="325">
        <f t="shared" si="0"/>
        <v>0</v>
      </c>
      <c r="H21" s="269"/>
    </row>
    <row r="22" spans="1:8" ht="17.25" x14ac:dyDescent="0.3">
      <c r="A22" s="179" t="s">
        <v>1863</v>
      </c>
      <c r="B22" s="321" t="s">
        <v>1873</v>
      </c>
      <c r="C22" s="222" t="s">
        <v>437</v>
      </c>
      <c r="D22" s="54">
        <v>9250</v>
      </c>
      <c r="E22" s="54">
        <v>9250</v>
      </c>
      <c r="F22" s="324"/>
      <c r="G22" s="325">
        <f t="shared" si="0"/>
        <v>0</v>
      </c>
      <c r="H22" s="269"/>
    </row>
    <row r="23" spans="1:8" ht="17.25" x14ac:dyDescent="0.3">
      <c r="A23" s="179" t="s">
        <v>1592</v>
      </c>
      <c r="B23" s="321" t="s">
        <v>1673</v>
      </c>
      <c r="C23" s="222" t="s">
        <v>464</v>
      </c>
      <c r="D23" s="54">
        <v>9250</v>
      </c>
      <c r="E23" s="54">
        <v>9250</v>
      </c>
      <c r="F23" s="324"/>
      <c r="G23" s="325">
        <f t="shared" si="0"/>
        <v>0</v>
      </c>
      <c r="H23" s="269"/>
    </row>
    <row r="24" spans="1:8" ht="17.25" x14ac:dyDescent="0.3">
      <c r="A24" s="179" t="s">
        <v>1606</v>
      </c>
      <c r="B24" s="321" t="s">
        <v>1674</v>
      </c>
      <c r="C24" s="222" t="s">
        <v>83</v>
      </c>
      <c r="D24" s="54">
        <v>9250</v>
      </c>
      <c r="E24" s="54">
        <v>9250</v>
      </c>
      <c r="F24" s="324"/>
      <c r="G24" s="325">
        <f t="shared" si="0"/>
        <v>0</v>
      </c>
      <c r="H24" s="269"/>
    </row>
    <row r="25" spans="1:8" ht="17.25" x14ac:dyDescent="0.3">
      <c r="A25" s="179" t="s">
        <v>1863</v>
      </c>
      <c r="B25" s="321" t="s">
        <v>1873</v>
      </c>
      <c r="C25" s="222" t="s">
        <v>432</v>
      </c>
      <c r="D25" s="54">
        <v>9250</v>
      </c>
      <c r="E25" s="54">
        <v>9250</v>
      </c>
      <c r="F25" s="324"/>
      <c r="G25" s="325">
        <f t="shared" si="0"/>
        <v>0</v>
      </c>
      <c r="H25" s="269"/>
    </row>
    <row r="26" spans="1:8" ht="17.25" x14ac:dyDescent="0.3">
      <c r="A26" s="179" t="s">
        <v>1592</v>
      </c>
      <c r="B26" s="321" t="s">
        <v>1673</v>
      </c>
      <c r="C26" s="222" t="s">
        <v>454</v>
      </c>
      <c r="D26" s="54">
        <v>9250</v>
      </c>
      <c r="E26" s="54">
        <v>9250</v>
      </c>
      <c r="F26" s="324"/>
      <c r="G26" s="325">
        <f t="shared" si="0"/>
        <v>0</v>
      </c>
      <c r="H26" s="269"/>
    </row>
    <row r="27" spans="1:8" ht="17.25" x14ac:dyDescent="0.3">
      <c r="A27" s="179" t="s">
        <v>1866</v>
      </c>
      <c r="B27" s="321" t="s">
        <v>1869</v>
      </c>
      <c r="C27" s="222" t="s">
        <v>441</v>
      </c>
      <c r="D27" s="54">
        <v>9250</v>
      </c>
      <c r="E27" s="54">
        <v>9250</v>
      </c>
      <c r="F27" s="324"/>
      <c r="G27" s="325">
        <f t="shared" si="0"/>
        <v>0</v>
      </c>
      <c r="H27" s="269"/>
    </row>
    <row r="28" spans="1:8" ht="17.25" x14ac:dyDescent="0.3">
      <c r="A28" s="179"/>
      <c r="B28" s="321">
        <v>21</v>
      </c>
      <c r="C28" s="222" t="s">
        <v>47</v>
      </c>
      <c r="D28" s="54">
        <v>9250</v>
      </c>
      <c r="E28" s="54">
        <v>9250</v>
      </c>
      <c r="F28" s="324"/>
      <c r="G28" s="325">
        <f t="shared" si="0"/>
        <v>0</v>
      </c>
      <c r="H28" s="269"/>
    </row>
    <row r="29" spans="1:8" ht="17.25" x14ac:dyDescent="0.3">
      <c r="A29" s="179" t="s">
        <v>1866</v>
      </c>
      <c r="B29" s="321" t="s">
        <v>1867</v>
      </c>
      <c r="C29" s="222" t="s">
        <v>431</v>
      </c>
      <c r="D29" s="54">
        <v>9250</v>
      </c>
      <c r="E29" s="54">
        <v>9250</v>
      </c>
      <c r="F29" s="324"/>
      <c r="G29" s="325">
        <f t="shared" si="0"/>
        <v>0</v>
      </c>
      <c r="H29" s="269"/>
    </row>
    <row r="30" spans="1:8" ht="17.25" x14ac:dyDescent="0.3">
      <c r="A30" s="179" t="s">
        <v>1693</v>
      </c>
      <c r="B30" s="321" t="s">
        <v>1711</v>
      </c>
      <c r="C30" s="222" t="s">
        <v>82</v>
      </c>
      <c r="D30" s="54">
        <v>9250</v>
      </c>
      <c r="E30" s="54">
        <v>9250</v>
      </c>
      <c r="F30" s="324"/>
      <c r="G30" s="325">
        <f t="shared" si="0"/>
        <v>0</v>
      </c>
      <c r="H30" s="269"/>
    </row>
    <row r="31" spans="1:8" ht="17.25" x14ac:dyDescent="0.3">
      <c r="A31" s="179" t="s">
        <v>1866</v>
      </c>
      <c r="B31" s="321" t="s">
        <v>1869</v>
      </c>
      <c r="C31" s="222" t="s">
        <v>461</v>
      </c>
      <c r="D31" s="54">
        <v>9250</v>
      </c>
      <c r="E31" s="54">
        <v>9250</v>
      </c>
      <c r="F31" s="324"/>
      <c r="G31" s="325">
        <f t="shared" si="0"/>
        <v>0</v>
      </c>
      <c r="H31" s="269"/>
    </row>
    <row r="32" spans="1:8" ht="17.25" x14ac:dyDescent="0.3">
      <c r="A32" s="179" t="s">
        <v>1868</v>
      </c>
      <c r="B32" s="321" t="s">
        <v>1869</v>
      </c>
      <c r="C32" s="222" t="s">
        <v>443</v>
      </c>
      <c r="D32" s="54">
        <v>9250</v>
      </c>
      <c r="E32" s="54">
        <v>9250</v>
      </c>
      <c r="F32" s="324"/>
      <c r="G32" s="325">
        <f t="shared" si="0"/>
        <v>0</v>
      </c>
      <c r="H32" s="269"/>
    </row>
    <row r="33" spans="1:8" ht="17.25" x14ac:dyDescent="0.3">
      <c r="A33" s="179"/>
      <c r="B33" s="321">
        <v>26</v>
      </c>
      <c r="C33" s="222" t="s">
        <v>50</v>
      </c>
      <c r="D33" s="54">
        <v>9250</v>
      </c>
      <c r="E33" s="54">
        <v>9250</v>
      </c>
      <c r="F33" s="324"/>
      <c r="G33" s="325">
        <f t="shared" si="0"/>
        <v>0</v>
      </c>
      <c r="H33" s="269"/>
    </row>
    <row r="34" spans="1:8" ht="17.25" x14ac:dyDescent="0.3">
      <c r="A34" s="179" t="s">
        <v>1866</v>
      </c>
      <c r="B34" s="321" t="s">
        <v>1869</v>
      </c>
      <c r="C34" s="222" t="s">
        <v>51</v>
      </c>
      <c r="D34" s="54">
        <v>9250</v>
      </c>
      <c r="E34" s="54">
        <v>9250</v>
      </c>
      <c r="F34" s="324"/>
      <c r="G34" s="325">
        <f t="shared" si="0"/>
        <v>0</v>
      </c>
      <c r="H34" s="269"/>
    </row>
    <row r="35" spans="1:8" ht="17.25" x14ac:dyDescent="0.3">
      <c r="A35" s="179" t="s">
        <v>1606</v>
      </c>
      <c r="B35" s="321" t="s">
        <v>1674</v>
      </c>
      <c r="C35" s="222" t="s">
        <v>30</v>
      </c>
      <c r="D35" s="54">
        <v>9250</v>
      </c>
      <c r="E35" s="54">
        <v>9250</v>
      </c>
      <c r="F35" s="324"/>
      <c r="G35" s="325">
        <f t="shared" si="0"/>
        <v>0</v>
      </c>
      <c r="H35" s="269"/>
    </row>
    <row r="36" spans="1:8" ht="17.25" x14ac:dyDescent="0.3">
      <c r="A36" s="179" t="s">
        <v>1866</v>
      </c>
      <c r="B36" s="321" t="s">
        <v>1869</v>
      </c>
      <c r="C36" s="222" t="s">
        <v>28</v>
      </c>
      <c r="D36" s="54">
        <v>9250</v>
      </c>
      <c r="E36" s="54">
        <v>9250</v>
      </c>
      <c r="F36" s="324"/>
      <c r="G36" s="325">
        <f t="shared" si="0"/>
        <v>0</v>
      </c>
      <c r="H36" s="269"/>
    </row>
    <row r="37" spans="1:8" ht="17.25" x14ac:dyDescent="0.3">
      <c r="A37" s="179" t="s">
        <v>1866</v>
      </c>
      <c r="B37" s="321" t="s">
        <v>1869</v>
      </c>
      <c r="C37" s="222" t="s">
        <v>453</v>
      </c>
      <c r="D37" s="54">
        <v>9250</v>
      </c>
      <c r="E37" s="54">
        <v>9250</v>
      </c>
      <c r="F37" s="324"/>
      <c r="G37" s="325">
        <f t="shared" si="0"/>
        <v>0</v>
      </c>
      <c r="H37" s="269"/>
    </row>
    <row r="38" spans="1:8" ht="17.25" x14ac:dyDescent="0.3">
      <c r="A38" s="179" t="s">
        <v>1693</v>
      </c>
      <c r="B38" s="321" t="s">
        <v>1711</v>
      </c>
      <c r="C38" s="222" t="s">
        <v>29</v>
      </c>
      <c r="D38" s="54">
        <v>9250</v>
      </c>
      <c r="E38" s="54">
        <v>9250</v>
      </c>
      <c r="F38" s="324"/>
      <c r="G38" s="325">
        <f t="shared" si="0"/>
        <v>0</v>
      </c>
      <c r="H38" s="269"/>
    </row>
    <row r="39" spans="1:8" ht="17.25" x14ac:dyDescent="0.3">
      <c r="A39" s="179"/>
      <c r="B39" s="321" t="s">
        <v>2302</v>
      </c>
      <c r="C39" s="222" t="s">
        <v>459</v>
      </c>
      <c r="D39" s="54">
        <v>9250</v>
      </c>
      <c r="E39" s="54">
        <v>9250</v>
      </c>
      <c r="F39" s="324"/>
      <c r="G39" s="325">
        <f t="shared" si="0"/>
        <v>0</v>
      </c>
      <c r="H39" s="269"/>
    </row>
    <row r="40" spans="1:8" ht="17.25" x14ac:dyDescent="0.3">
      <c r="A40" s="179" t="s">
        <v>1606</v>
      </c>
      <c r="B40" s="321" t="s">
        <v>1674</v>
      </c>
      <c r="C40" s="222" t="s">
        <v>94</v>
      </c>
      <c r="D40" s="54">
        <v>9250</v>
      </c>
      <c r="E40" s="54">
        <v>9250</v>
      </c>
      <c r="F40" s="324"/>
      <c r="G40" s="325">
        <f t="shared" si="0"/>
        <v>0</v>
      </c>
      <c r="H40" s="269"/>
    </row>
    <row r="41" spans="1:8" ht="17.25" x14ac:dyDescent="0.3">
      <c r="A41" s="179" t="s">
        <v>1670</v>
      </c>
      <c r="B41" s="321" t="s">
        <v>1675</v>
      </c>
      <c r="C41" s="222" t="s">
        <v>436</v>
      </c>
      <c r="D41" s="54">
        <v>9250</v>
      </c>
      <c r="E41" s="54">
        <v>9250</v>
      </c>
      <c r="F41" s="324"/>
      <c r="G41" s="325">
        <f t="shared" si="0"/>
        <v>0</v>
      </c>
      <c r="H41" s="269"/>
    </row>
    <row r="42" spans="1:8" ht="17.25" x14ac:dyDescent="0.3">
      <c r="A42" s="179" t="s">
        <v>1606</v>
      </c>
      <c r="B42" s="321" t="s">
        <v>1674</v>
      </c>
      <c r="C42" s="222" t="s">
        <v>440</v>
      </c>
      <c r="D42" s="54">
        <v>9250</v>
      </c>
      <c r="E42" s="54">
        <v>9250</v>
      </c>
      <c r="F42" s="324"/>
      <c r="G42" s="325">
        <f t="shared" si="0"/>
        <v>0</v>
      </c>
      <c r="H42" s="269"/>
    </row>
    <row r="43" spans="1:8" ht="17.25" x14ac:dyDescent="0.3">
      <c r="A43" s="179"/>
      <c r="B43" s="321" t="s">
        <v>2038</v>
      </c>
      <c r="C43" s="222" t="s">
        <v>49</v>
      </c>
      <c r="D43" s="54">
        <v>9250</v>
      </c>
      <c r="E43" s="54">
        <v>9250</v>
      </c>
      <c r="F43" s="324"/>
      <c r="G43" s="325">
        <f t="shared" si="0"/>
        <v>0</v>
      </c>
      <c r="H43" s="269"/>
    </row>
    <row r="44" spans="1:8" ht="17.25" x14ac:dyDescent="0.3">
      <c r="A44" s="179"/>
      <c r="B44" s="321">
        <v>37</v>
      </c>
      <c r="C44" s="222" t="s">
        <v>450</v>
      </c>
      <c r="D44" s="54">
        <v>9250</v>
      </c>
      <c r="E44" s="54">
        <v>9250</v>
      </c>
      <c r="F44" s="324"/>
      <c r="G44" s="325">
        <f t="shared" si="0"/>
        <v>0</v>
      </c>
      <c r="H44" s="269"/>
    </row>
    <row r="45" spans="1:8" ht="17.25" x14ac:dyDescent="0.3">
      <c r="A45" s="179" t="s">
        <v>1863</v>
      </c>
      <c r="B45" s="321" t="s">
        <v>1873</v>
      </c>
      <c r="C45" s="222" t="s">
        <v>466</v>
      </c>
      <c r="D45" s="54">
        <v>9250</v>
      </c>
      <c r="E45" s="54">
        <v>9250</v>
      </c>
      <c r="F45" s="324"/>
      <c r="G45" s="325">
        <f t="shared" si="0"/>
        <v>0</v>
      </c>
      <c r="H45" s="269"/>
    </row>
    <row r="46" spans="1:8" ht="17.25" x14ac:dyDescent="0.3">
      <c r="A46" s="179" t="s">
        <v>1866</v>
      </c>
      <c r="B46" s="321" t="s">
        <v>1867</v>
      </c>
      <c r="C46" s="222" t="s">
        <v>438</v>
      </c>
      <c r="D46" s="54">
        <v>9250</v>
      </c>
      <c r="E46" s="54">
        <v>9250</v>
      </c>
      <c r="F46" s="324"/>
      <c r="G46" s="325">
        <f t="shared" si="0"/>
        <v>0</v>
      </c>
      <c r="H46" s="269"/>
    </row>
    <row r="47" spans="1:8" ht="17.25" x14ac:dyDescent="0.3">
      <c r="A47" s="179" t="s">
        <v>1693</v>
      </c>
      <c r="B47" s="321" t="s">
        <v>1711</v>
      </c>
      <c r="C47" s="222" t="s">
        <v>448</v>
      </c>
      <c r="D47" s="54">
        <v>9250</v>
      </c>
      <c r="E47" s="54">
        <v>9250</v>
      </c>
      <c r="F47" s="324"/>
      <c r="G47" s="325">
        <f t="shared" si="0"/>
        <v>0</v>
      </c>
      <c r="H47" s="269"/>
    </row>
    <row r="48" spans="1:8" ht="17.25" x14ac:dyDescent="0.3">
      <c r="A48" s="179"/>
      <c r="B48" s="321">
        <v>41</v>
      </c>
      <c r="C48" s="222" t="s">
        <v>446</v>
      </c>
      <c r="D48" s="54">
        <v>9250</v>
      </c>
      <c r="E48" s="54">
        <v>9250</v>
      </c>
      <c r="F48" s="324"/>
      <c r="G48" s="325">
        <f t="shared" si="0"/>
        <v>0</v>
      </c>
      <c r="H48" s="269"/>
    </row>
    <row r="49" spans="1:8" ht="17.25" x14ac:dyDescent="0.3">
      <c r="A49" s="179"/>
      <c r="B49" s="321" t="s">
        <v>2302</v>
      </c>
      <c r="C49" s="222" t="s">
        <v>467</v>
      </c>
      <c r="D49" s="54">
        <v>9250</v>
      </c>
      <c r="E49" s="54">
        <v>9250</v>
      </c>
      <c r="F49" s="324"/>
      <c r="G49" s="325">
        <f t="shared" si="0"/>
        <v>0</v>
      </c>
      <c r="H49" s="269"/>
    </row>
    <row r="50" spans="1:8" ht="17.25" x14ac:dyDescent="0.3">
      <c r="A50" s="179" t="s">
        <v>1498</v>
      </c>
      <c r="B50" s="321" t="s">
        <v>1546</v>
      </c>
      <c r="C50" s="222" t="s">
        <v>102</v>
      </c>
      <c r="D50" s="54">
        <v>9250</v>
      </c>
      <c r="E50" s="54">
        <v>9250</v>
      </c>
      <c r="F50" s="324"/>
      <c r="G50" s="325">
        <f t="shared" si="0"/>
        <v>0</v>
      </c>
      <c r="H50" s="269"/>
    </row>
    <row r="51" spans="1:8" ht="17.25" x14ac:dyDescent="0.3">
      <c r="A51" s="179" t="s">
        <v>1863</v>
      </c>
      <c r="B51" s="321" t="s">
        <v>1873</v>
      </c>
      <c r="C51" s="222" t="s">
        <v>451</v>
      </c>
      <c r="D51" s="54">
        <v>9250</v>
      </c>
      <c r="E51" s="54">
        <v>9250</v>
      </c>
      <c r="F51" s="324"/>
      <c r="G51" s="325">
        <f t="shared" si="0"/>
        <v>0</v>
      </c>
      <c r="H51" s="269"/>
    </row>
    <row r="52" spans="1:8" ht="17.25" x14ac:dyDescent="0.3">
      <c r="A52" s="179" t="s">
        <v>1606</v>
      </c>
      <c r="B52" s="321" t="s">
        <v>1674</v>
      </c>
      <c r="C52" s="222" t="s">
        <v>449</v>
      </c>
      <c r="D52" s="54">
        <v>9250</v>
      </c>
      <c r="E52" s="54">
        <v>9250</v>
      </c>
      <c r="F52" s="324"/>
      <c r="G52" s="325">
        <f t="shared" si="0"/>
        <v>0</v>
      </c>
      <c r="H52" s="269"/>
    </row>
    <row r="53" spans="1:8" ht="17.25" x14ac:dyDescent="0.3">
      <c r="A53" s="179" t="s">
        <v>1868</v>
      </c>
      <c r="B53" s="321" t="s">
        <v>1869</v>
      </c>
      <c r="C53" s="222" t="s">
        <v>470</v>
      </c>
      <c r="D53" s="54">
        <v>9250</v>
      </c>
      <c r="E53" s="54">
        <v>9250</v>
      </c>
      <c r="F53" s="324"/>
      <c r="G53" s="325">
        <f t="shared" si="0"/>
        <v>0</v>
      </c>
      <c r="H53" s="269"/>
    </row>
    <row r="54" spans="1:8" ht="17.25" x14ac:dyDescent="0.3">
      <c r="A54" s="179"/>
      <c r="B54" s="321" t="s">
        <v>2301</v>
      </c>
      <c r="C54" s="222" t="s">
        <v>84</v>
      </c>
      <c r="D54" s="54">
        <v>9250</v>
      </c>
      <c r="E54" s="54">
        <v>9250</v>
      </c>
      <c r="F54" s="324"/>
      <c r="G54" s="325">
        <f t="shared" si="0"/>
        <v>0</v>
      </c>
      <c r="H54" s="269"/>
    </row>
    <row r="55" spans="1:8" ht="17.25" x14ac:dyDescent="0.3">
      <c r="A55" s="179"/>
      <c r="B55" s="321">
        <v>48</v>
      </c>
      <c r="C55" s="222" t="s">
        <v>447</v>
      </c>
      <c r="D55" s="54">
        <v>9250</v>
      </c>
      <c r="E55" s="54">
        <v>9250</v>
      </c>
      <c r="F55" s="324"/>
      <c r="G55" s="325">
        <f t="shared" si="0"/>
        <v>0</v>
      </c>
      <c r="H55" s="269"/>
    </row>
    <row r="56" spans="1:8" ht="17.25" x14ac:dyDescent="0.3">
      <c r="A56" s="179" t="s">
        <v>1606</v>
      </c>
      <c r="B56" s="321" t="s">
        <v>1674</v>
      </c>
      <c r="C56" s="222" t="s">
        <v>455</v>
      </c>
      <c r="D56" s="54">
        <v>9250</v>
      </c>
      <c r="E56" s="54">
        <v>9250</v>
      </c>
      <c r="F56" s="324"/>
      <c r="G56" s="325">
        <f t="shared" si="0"/>
        <v>0</v>
      </c>
      <c r="H56" s="269"/>
    </row>
    <row r="57" spans="1:8" ht="17.25" x14ac:dyDescent="0.3">
      <c r="A57" s="179" t="s">
        <v>1866</v>
      </c>
      <c r="B57" s="321" t="s">
        <v>1869</v>
      </c>
      <c r="C57" s="222" t="s">
        <v>469</v>
      </c>
      <c r="D57" s="54">
        <v>9250</v>
      </c>
      <c r="E57" s="54">
        <v>9250</v>
      </c>
      <c r="F57" s="324"/>
      <c r="G57" s="325">
        <f t="shared" si="0"/>
        <v>0</v>
      </c>
      <c r="H57" s="269"/>
    </row>
    <row r="58" spans="1:8" ht="17.25" x14ac:dyDescent="0.3">
      <c r="A58" s="179" t="s">
        <v>1866</v>
      </c>
      <c r="B58" s="321" t="s">
        <v>1869</v>
      </c>
      <c r="C58" s="222" t="s">
        <v>452</v>
      </c>
      <c r="D58" s="54">
        <v>9250</v>
      </c>
      <c r="E58" s="54">
        <v>9250</v>
      </c>
      <c r="F58" s="324"/>
      <c r="G58" s="325">
        <f t="shared" si="0"/>
        <v>0</v>
      </c>
      <c r="H58" s="269"/>
    </row>
    <row r="59" spans="1:8" ht="17.25" x14ac:dyDescent="0.3">
      <c r="A59" s="179" t="s">
        <v>1866</v>
      </c>
      <c r="B59" s="321" t="s">
        <v>1867</v>
      </c>
      <c r="C59" s="222" t="s">
        <v>70</v>
      </c>
      <c r="D59" s="54">
        <v>9250</v>
      </c>
      <c r="E59" s="54">
        <v>9250</v>
      </c>
      <c r="F59" s="324"/>
      <c r="G59" s="325">
        <f t="shared" si="0"/>
        <v>0</v>
      </c>
      <c r="H59" s="269"/>
    </row>
    <row r="60" spans="1:8" ht="17.25" x14ac:dyDescent="0.3">
      <c r="A60" s="179"/>
      <c r="B60" s="321">
        <v>53</v>
      </c>
      <c r="C60" s="222" t="s">
        <v>462</v>
      </c>
      <c r="D60" s="54">
        <v>9250</v>
      </c>
      <c r="E60" s="54">
        <v>9250</v>
      </c>
      <c r="F60" s="324"/>
      <c r="G60" s="325">
        <f t="shared" si="0"/>
        <v>0</v>
      </c>
      <c r="H60" s="269"/>
    </row>
    <row r="61" spans="1:8" ht="17.25" x14ac:dyDescent="0.3">
      <c r="A61" s="179"/>
      <c r="B61" s="321">
        <v>54</v>
      </c>
      <c r="C61" s="222" t="s">
        <v>103</v>
      </c>
      <c r="D61" s="54">
        <v>9250</v>
      </c>
      <c r="E61" s="54">
        <v>9250</v>
      </c>
      <c r="F61" s="324"/>
      <c r="G61" s="325">
        <f t="shared" si="0"/>
        <v>0</v>
      </c>
      <c r="H61" s="269"/>
    </row>
    <row r="62" spans="1:8" ht="17.25" x14ac:dyDescent="0.3">
      <c r="A62" s="179" t="s">
        <v>1866</v>
      </c>
      <c r="B62" s="321" t="s">
        <v>1867</v>
      </c>
      <c r="C62" s="222" t="s">
        <v>95</v>
      </c>
      <c r="D62" s="54">
        <v>9250</v>
      </c>
      <c r="E62" s="54">
        <v>9250</v>
      </c>
      <c r="F62" s="324"/>
      <c r="G62" s="325">
        <f t="shared" si="0"/>
        <v>0</v>
      </c>
      <c r="H62" s="269"/>
    </row>
    <row r="63" spans="1:8" ht="17.25" x14ac:dyDescent="0.3">
      <c r="A63" s="179" t="s">
        <v>1868</v>
      </c>
      <c r="B63" s="321" t="s">
        <v>1873</v>
      </c>
      <c r="C63" s="222" t="s">
        <v>71</v>
      </c>
      <c r="D63" s="54">
        <v>9250</v>
      </c>
      <c r="E63" s="54">
        <v>9250</v>
      </c>
      <c r="F63" s="324"/>
      <c r="G63" s="325">
        <f t="shared" si="0"/>
        <v>0</v>
      </c>
      <c r="H63" s="269"/>
    </row>
    <row r="64" spans="1:8" ht="17.25" x14ac:dyDescent="0.3">
      <c r="A64" s="179" t="s">
        <v>1606</v>
      </c>
      <c r="B64" s="321" t="s">
        <v>1674</v>
      </c>
      <c r="C64" s="222" t="s">
        <v>85</v>
      </c>
      <c r="D64" s="54">
        <v>9250</v>
      </c>
      <c r="E64" s="54">
        <v>9250</v>
      </c>
      <c r="F64" s="324"/>
      <c r="G64" s="325">
        <f t="shared" si="0"/>
        <v>0</v>
      </c>
      <c r="H64" s="269"/>
    </row>
    <row r="65" spans="1:8" ht="17.25" x14ac:dyDescent="0.3">
      <c r="A65" s="179"/>
      <c r="B65" s="321">
        <v>58</v>
      </c>
      <c r="C65" s="222" t="s">
        <v>430</v>
      </c>
      <c r="D65" s="54">
        <v>9250</v>
      </c>
      <c r="E65" s="54">
        <v>9250</v>
      </c>
      <c r="F65" s="324"/>
      <c r="G65" s="325">
        <f t="shared" si="0"/>
        <v>0</v>
      </c>
      <c r="H65" s="269"/>
    </row>
    <row r="66" spans="1:8" ht="17.25" x14ac:dyDescent="0.3">
      <c r="A66" s="179"/>
      <c r="B66" s="321">
        <v>59</v>
      </c>
      <c r="C66" s="222" t="s">
        <v>69</v>
      </c>
      <c r="D66" s="54">
        <v>9250</v>
      </c>
      <c r="E66" s="54">
        <v>9250</v>
      </c>
      <c r="F66" s="324"/>
      <c r="G66" s="325">
        <f t="shared" si="0"/>
        <v>0</v>
      </c>
      <c r="H66" s="269"/>
    </row>
    <row r="67" spans="1:8" ht="17.25" x14ac:dyDescent="0.3">
      <c r="A67" s="179" t="s">
        <v>1592</v>
      </c>
      <c r="B67" s="321" t="s">
        <v>1673</v>
      </c>
      <c r="C67" s="222" t="s">
        <v>435</v>
      </c>
      <c r="D67" s="54">
        <v>15250</v>
      </c>
      <c r="E67" s="54">
        <v>15250</v>
      </c>
      <c r="F67" s="324"/>
      <c r="G67" s="325">
        <f t="shared" si="0"/>
        <v>0</v>
      </c>
      <c r="H67" s="269"/>
    </row>
    <row r="68" spans="1:8" ht="17.25" x14ac:dyDescent="0.3">
      <c r="A68" s="179" t="s">
        <v>1606</v>
      </c>
      <c r="B68" s="321" t="s">
        <v>1674</v>
      </c>
      <c r="C68" s="222" t="s">
        <v>442</v>
      </c>
      <c r="D68" s="54">
        <v>15250</v>
      </c>
      <c r="E68" s="54">
        <v>15250</v>
      </c>
      <c r="F68" s="324"/>
      <c r="G68" s="325">
        <f t="shared" si="0"/>
        <v>0</v>
      </c>
      <c r="H68" s="269"/>
    </row>
    <row r="69" spans="1:8" ht="17.25" x14ac:dyDescent="0.3">
      <c r="A69" s="179" t="s">
        <v>1592</v>
      </c>
      <c r="B69" s="321" t="s">
        <v>1673</v>
      </c>
      <c r="C69" s="222" t="s">
        <v>1331</v>
      </c>
      <c r="D69" s="54">
        <v>15250</v>
      </c>
      <c r="E69" s="54">
        <v>15250</v>
      </c>
      <c r="F69" s="324"/>
      <c r="G69" s="325">
        <f t="shared" si="0"/>
        <v>0</v>
      </c>
      <c r="H69" s="269"/>
    </row>
    <row r="70" spans="1:8" ht="17.25" x14ac:dyDescent="0.3">
      <c r="A70" s="179"/>
      <c r="B70" s="321">
        <v>63</v>
      </c>
      <c r="C70" s="222" t="s">
        <v>68</v>
      </c>
      <c r="D70" s="54">
        <v>15250</v>
      </c>
      <c r="E70" s="54">
        <v>15250</v>
      </c>
      <c r="F70" s="324"/>
      <c r="G70" s="325">
        <f t="shared" si="0"/>
        <v>0</v>
      </c>
      <c r="H70" s="269"/>
    </row>
    <row r="71" spans="1:8" ht="17.25" x14ac:dyDescent="0.3">
      <c r="A71" s="179"/>
      <c r="B71" s="321">
        <v>64</v>
      </c>
      <c r="C71" s="222" t="s">
        <v>478</v>
      </c>
      <c r="D71" s="54">
        <v>9250</v>
      </c>
      <c r="E71" s="54">
        <v>9250</v>
      </c>
      <c r="F71" s="324"/>
      <c r="G71" s="325">
        <f t="shared" si="0"/>
        <v>0</v>
      </c>
      <c r="H71" s="269"/>
    </row>
    <row r="72" spans="1:8" ht="17.25" x14ac:dyDescent="0.3">
      <c r="A72" s="179" t="s">
        <v>2517</v>
      </c>
      <c r="B72" s="321">
        <v>65</v>
      </c>
      <c r="C72" s="222" t="s">
        <v>96</v>
      </c>
      <c r="D72" s="54">
        <v>9250</v>
      </c>
      <c r="E72" s="54">
        <v>9250</v>
      </c>
      <c r="F72" s="325"/>
      <c r="G72" s="324">
        <f t="shared" si="0"/>
        <v>0</v>
      </c>
      <c r="H72" s="269"/>
    </row>
    <row r="73" spans="1:8" ht="17.25" x14ac:dyDescent="0.3">
      <c r="A73" s="179" t="s">
        <v>1498</v>
      </c>
      <c r="B73" s="321" t="s">
        <v>1546</v>
      </c>
      <c r="C73" s="222" t="s">
        <v>55</v>
      </c>
      <c r="D73" s="54">
        <v>9250</v>
      </c>
      <c r="E73" s="323">
        <v>9250</v>
      </c>
      <c r="F73" s="324"/>
      <c r="G73" s="325">
        <f t="shared" ref="G73:G136" si="1">D73-E73-F73</f>
        <v>0</v>
      </c>
      <c r="H73" s="269"/>
    </row>
    <row r="74" spans="1:8" ht="17.25" x14ac:dyDescent="0.3">
      <c r="A74" s="179" t="s">
        <v>1863</v>
      </c>
      <c r="B74" s="321" t="s">
        <v>1873</v>
      </c>
      <c r="C74" s="222" t="s">
        <v>52</v>
      </c>
      <c r="D74" s="54">
        <v>9250</v>
      </c>
      <c r="E74" s="54">
        <v>9250</v>
      </c>
      <c r="F74" s="324"/>
      <c r="G74" s="325">
        <f t="shared" si="1"/>
        <v>0</v>
      </c>
      <c r="H74" s="269"/>
    </row>
    <row r="75" spans="1:8" ht="17.25" x14ac:dyDescent="0.3">
      <c r="A75" s="179" t="s">
        <v>1866</v>
      </c>
      <c r="B75" s="321" t="s">
        <v>1869</v>
      </c>
      <c r="C75" s="222" t="s">
        <v>490</v>
      </c>
      <c r="D75" s="54">
        <v>9250</v>
      </c>
      <c r="E75" s="54">
        <v>9250</v>
      </c>
      <c r="F75" s="324"/>
      <c r="G75" s="325">
        <f t="shared" si="1"/>
        <v>0</v>
      </c>
      <c r="H75" s="269"/>
    </row>
    <row r="76" spans="1:8" ht="17.25" x14ac:dyDescent="0.3">
      <c r="A76" s="179" t="s">
        <v>1863</v>
      </c>
      <c r="B76" s="321" t="s">
        <v>1873</v>
      </c>
      <c r="C76" s="222" t="s">
        <v>497</v>
      </c>
      <c r="D76" s="54">
        <v>9250</v>
      </c>
      <c r="E76" s="54">
        <v>9250</v>
      </c>
      <c r="F76" s="324"/>
      <c r="G76" s="325">
        <f t="shared" si="1"/>
        <v>0</v>
      </c>
      <c r="H76" s="269"/>
    </row>
    <row r="77" spans="1:8" ht="17.25" x14ac:dyDescent="0.3">
      <c r="A77" s="179" t="s">
        <v>1863</v>
      </c>
      <c r="B77" s="321" t="s">
        <v>1873</v>
      </c>
      <c r="C77" s="222" t="s">
        <v>485</v>
      </c>
      <c r="D77" s="54">
        <v>9250</v>
      </c>
      <c r="E77" s="54">
        <v>9250</v>
      </c>
      <c r="F77" s="324"/>
      <c r="G77" s="325">
        <f t="shared" si="1"/>
        <v>0</v>
      </c>
      <c r="H77" s="269"/>
    </row>
    <row r="78" spans="1:8" ht="17.25" x14ac:dyDescent="0.3">
      <c r="A78" s="179" t="s">
        <v>1866</v>
      </c>
      <c r="B78" s="321" t="s">
        <v>1867</v>
      </c>
      <c r="C78" s="222" t="s">
        <v>488</v>
      </c>
      <c r="D78" s="54">
        <v>9250</v>
      </c>
      <c r="E78" s="54">
        <v>9250</v>
      </c>
      <c r="F78" s="324"/>
      <c r="G78" s="325">
        <f t="shared" si="1"/>
        <v>0</v>
      </c>
      <c r="H78" s="269"/>
    </row>
    <row r="79" spans="1:8" ht="17.25" x14ac:dyDescent="0.3">
      <c r="A79" s="179" t="s">
        <v>1868</v>
      </c>
      <c r="B79" s="321" t="s">
        <v>1869</v>
      </c>
      <c r="C79" s="222" t="s">
        <v>474</v>
      </c>
      <c r="D79" s="54">
        <v>9250</v>
      </c>
      <c r="E79" s="54">
        <v>9250</v>
      </c>
      <c r="F79" s="324"/>
      <c r="G79" s="325">
        <f t="shared" si="1"/>
        <v>0</v>
      </c>
      <c r="H79" s="269"/>
    </row>
    <row r="80" spans="1:8" ht="17.25" x14ac:dyDescent="0.3">
      <c r="A80" s="179" t="s">
        <v>1606</v>
      </c>
      <c r="B80" s="321" t="s">
        <v>1674</v>
      </c>
      <c r="C80" s="222" t="s">
        <v>54</v>
      </c>
      <c r="D80" s="54">
        <v>9250</v>
      </c>
      <c r="E80" s="54">
        <v>9250</v>
      </c>
      <c r="F80" s="324"/>
      <c r="G80" s="325">
        <f t="shared" si="1"/>
        <v>0</v>
      </c>
      <c r="H80" s="269"/>
    </row>
    <row r="81" spans="1:8" ht="17.25" x14ac:dyDescent="0.3">
      <c r="A81" s="179" t="s">
        <v>1863</v>
      </c>
      <c r="B81" s="321" t="s">
        <v>1873</v>
      </c>
      <c r="C81" s="222" t="s">
        <v>484</v>
      </c>
      <c r="D81" s="54">
        <v>9250</v>
      </c>
      <c r="E81" s="54">
        <v>9250</v>
      </c>
      <c r="F81" s="324"/>
      <c r="G81" s="325">
        <f t="shared" si="1"/>
        <v>0</v>
      </c>
      <c r="H81" s="269"/>
    </row>
    <row r="82" spans="1:8" ht="17.25" x14ac:dyDescent="0.3">
      <c r="A82" s="179"/>
      <c r="B82" s="321">
        <v>75</v>
      </c>
      <c r="C82" s="222" t="s">
        <v>479</v>
      </c>
      <c r="D82" s="54">
        <v>9250</v>
      </c>
      <c r="E82" s="54">
        <v>9250</v>
      </c>
      <c r="F82" s="324"/>
      <c r="G82" s="325">
        <f t="shared" si="1"/>
        <v>0</v>
      </c>
      <c r="H82" s="269"/>
    </row>
    <row r="83" spans="1:8" ht="17.25" x14ac:dyDescent="0.3">
      <c r="A83" s="179" t="s">
        <v>1670</v>
      </c>
      <c r="B83" s="321" t="s">
        <v>1675</v>
      </c>
      <c r="C83" s="222" t="s">
        <v>494</v>
      </c>
      <c r="D83" s="54">
        <v>9250</v>
      </c>
      <c r="E83" s="54">
        <v>9250</v>
      </c>
      <c r="F83" s="324"/>
      <c r="G83" s="325">
        <f t="shared" si="1"/>
        <v>0</v>
      </c>
      <c r="H83" s="269"/>
    </row>
    <row r="84" spans="1:8" ht="17.25" x14ac:dyDescent="0.3">
      <c r="A84" s="179" t="s">
        <v>1606</v>
      </c>
      <c r="B84" s="321" t="s">
        <v>1674</v>
      </c>
      <c r="C84" s="222" t="s">
        <v>496</v>
      </c>
      <c r="D84" s="54">
        <v>9250</v>
      </c>
      <c r="E84" s="54">
        <v>9250</v>
      </c>
      <c r="F84" s="324"/>
      <c r="G84" s="325">
        <f t="shared" si="1"/>
        <v>0</v>
      </c>
      <c r="H84" s="269"/>
    </row>
    <row r="85" spans="1:8" ht="17.25" x14ac:dyDescent="0.3">
      <c r="A85" s="179" t="s">
        <v>1498</v>
      </c>
      <c r="B85" s="321" t="s">
        <v>1546</v>
      </c>
      <c r="C85" s="222" t="s">
        <v>486</v>
      </c>
      <c r="D85" s="54">
        <v>9250</v>
      </c>
      <c r="E85" s="323">
        <v>9250</v>
      </c>
      <c r="F85" s="324"/>
      <c r="G85" s="325">
        <f t="shared" si="1"/>
        <v>0</v>
      </c>
      <c r="H85" s="269"/>
    </row>
    <row r="86" spans="1:8" ht="17.25" x14ac:dyDescent="0.3">
      <c r="A86" s="179" t="s">
        <v>2137</v>
      </c>
      <c r="B86" s="321" t="s">
        <v>2138</v>
      </c>
      <c r="C86" s="222" t="s">
        <v>477</v>
      </c>
      <c r="D86" s="54">
        <v>9250</v>
      </c>
      <c r="E86" s="323">
        <v>9250</v>
      </c>
      <c r="F86" s="324"/>
      <c r="G86" s="325">
        <f t="shared" si="1"/>
        <v>0</v>
      </c>
      <c r="H86" s="269"/>
    </row>
    <row r="87" spans="1:8" ht="17.25" x14ac:dyDescent="0.3">
      <c r="A87" s="179"/>
      <c r="B87" s="321">
        <v>80</v>
      </c>
      <c r="C87" s="222" t="s">
        <v>493</v>
      </c>
      <c r="D87" s="54">
        <v>9250</v>
      </c>
      <c r="E87" s="54">
        <v>9250</v>
      </c>
      <c r="F87" s="324"/>
      <c r="G87" s="325">
        <f t="shared" si="1"/>
        <v>0</v>
      </c>
      <c r="H87" s="269"/>
    </row>
    <row r="88" spans="1:8" ht="17.25" x14ac:dyDescent="0.3">
      <c r="A88" s="179" t="s">
        <v>1866</v>
      </c>
      <c r="B88" s="321" t="s">
        <v>1869</v>
      </c>
      <c r="C88" s="222" t="s">
        <v>482</v>
      </c>
      <c r="D88" s="54">
        <v>9250</v>
      </c>
      <c r="E88" s="54">
        <v>9250</v>
      </c>
      <c r="F88" s="324"/>
      <c r="G88" s="325">
        <f t="shared" si="1"/>
        <v>0</v>
      </c>
      <c r="H88" s="269"/>
    </row>
    <row r="89" spans="1:8" ht="17.25" x14ac:dyDescent="0.3">
      <c r="A89" s="179" t="s">
        <v>1592</v>
      </c>
      <c r="B89" s="321" t="s">
        <v>1673</v>
      </c>
      <c r="C89" s="222" t="s">
        <v>483</v>
      </c>
      <c r="D89" s="54">
        <v>9250</v>
      </c>
      <c r="E89" s="54">
        <v>9250</v>
      </c>
      <c r="F89" s="324"/>
      <c r="G89" s="325">
        <f t="shared" si="1"/>
        <v>0</v>
      </c>
      <c r="H89" s="269"/>
    </row>
    <row r="90" spans="1:8" ht="17.25" x14ac:dyDescent="0.3">
      <c r="A90" s="179" t="s">
        <v>1592</v>
      </c>
      <c r="B90" s="321" t="s">
        <v>1673</v>
      </c>
      <c r="C90" s="222" t="s">
        <v>473</v>
      </c>
      <c r="D90" s="54">
        <v>9250</v>
      </c>
      <c r="E90" s="54">
        <v>9250</v>
      </c>
      <c r="F90" s="324"/>
      <c r="G90" s="325">
        <f t="shared" si="1"/>
        <v>0</v>
      </c>
      <c r="H90" s="269"/>
    </row>
    <row r="91" spans="1:8" ht="17.25" x14ac:dyDescent="0.3">
      <c r="A91" s="179" t="s">
        <v>1866</v>
      </c>
      <c r="B91" s="321" t="s">
        <v>1867</v>
      </c>
      <c r="C91" s="222" t="s">
        <v>472</v>
      </c>
      <c r="D91" s="54">
        <v>9250</v>
      </c>
      <c r="E91" s="54">
        <v>9250</v>
      </c>
      <c r="F91" s="324"/>
      <c r="G91" s="325">
        <f t="shared" si="1"/>
        <v>0</v>
      </c>
      <c r="H91" s="269"/>
    </row>
    <row r="92" spans="1:8" ht="17.25" x14ac:dyDescent="0.3">
      <c r="A92" s="179" t="s">
        <v>1498</v>
      </c>
      <c r="B92" s="321" t="s">
        <v>1546</v>
      </c>
      <c r="C92" s="222" t="s">
        <v>481</v>
      </c>
      <c r="D92" s="54">
        <v>9250</v>
      </c>
      <c r="E92" s="323">
        <v>9250</v>
      </c>
      <c r="F92" s="324"/>
      <c r="G92" s="325">
        <f t="shared" si="1"/>
        <v>0</v>
      </c>
      <c r="H92" s="269"/>
    </row>
    <row r="93" spans="1:8" ht="17.25" x14ac:dyDescent="0.3">
      <c r="A93" s="179"/>
      <c r="B93" s="321" t="s">
        <v>2038</v>
      </c>
      <c r="C93" s="222" t="s">
        <v>97</v>
      </c>
      <c r="D93" s="54">
        <v>9250</v>
      </c>
      <c r="E93" s="54">
        <v>9250</v>
      </c>
      <c r="F93" s="324"/>
      <c r="G93" s="325">
        <f t="shared" si="1"/>
        <v>0</v>
      </c>
      <c r="H93" s="269"/>
    </row>
    <row r="94" spans="1:8" ht="17.25" x14ac:dyDescent="0.3">
      <c r="A94" s="179"/>
      <c r="B94" s="321">
        <v>87</v>
      </c>
      <c r="C94" s="222" t="s">
        <v>93</v>
      </c>
      <c r="D94" s="54">
        <v>9250</v>
      </c>
      <c r="E94" s="54">
        <v>9250</v>
      </c>
      <c r="F94" s="324"/>
      <c r="G94" s="325">
        <f t="shared" si="1"/>
        <v>0</v>
      </c>
      <c r="H94" s="269"/>
    </row>
    <row r="95" spans="1:8" ht="17.25" x14ac:dyDescent="0.3">
      <c r="A95" s="179" t="s">
        <v>1693</v>
      </c>
      <c r="B95" s="321" t="s">
        <v>1711</v>
      </c>
      <c r="C95" s="222" t="s">
        <v>86</v>
      </c>
      <c r="D95" s="54">
        <v>9250</v>
      </c>
      <c r="E95" s="54">
        <v>9250</v>
      </c>
      <c r="F95" s="324"/>
      <c r="G95" s="325">
        <f t="shared" si="1"/>
        <v>0</v>
      </c>
      <c r="H95" s="269"/>
    </row>
    <row r="96" spans="1:8" ht="17.25" x14ac:dyDescent="0.3">
      <c r="A96" s="179" t="s">
        <v>1693</v>
      </c>
      <c r="B96" s="321" t="s">
        <v>1711</v>
      </c>
      <c r="C96" s="222" t="s">
        <v>491</v>
      </c>
      <c r="D96" s="54">
        <v>9250</v>
      </c>
      <c r="E96" s="54">
        <v>9250</v>
      </c>
      <c r="F96" s="324"/>
      <c r="G96" s="325">
        <f t="shared" si="1"/>
        <v>0</v>
      </c>
      <c r="H96" s="269"/>
    </row>
    <row r="97" spans="1:8" ht="17.25" x14ac:dyDescent="0.3">
      <c r="A97" s="179" t="s">
        <v>1606</v>
      </c>
      <c r="B97" s="321" t="s">
        <v>1674</v>
      </c>
      <c r="C97" s="222" t="s">
        <v>489</v>
      </c>
      <c r="D97" s="54">
        <v>9250</v>
      </c>
      <c r="E97" s="54">
        <v>9250</v>
      </c>
      <c r="F97" s="324"/>
      <c r="G97" s="325">
        <f t="shared" si="1"/>
        <v>0</v>
      </c>
      <c r="H97" s="269"/>
    </row>
    <row r="98" spans="1:8" ht="17.25" x14ac:dyDescent="0.3">
      <c r="A98" s="179" t="s">
        <v>1606</v>
      </c>
      <c r="B98" s="321" t="s">
        <v>1674</v>
      </c>
      <c r="C98" s="222" t="s">
        <v>475</v>
      </c>
      <c r="D98" s="54">
        <v>9250</v>
      </c>
      <c r="E98" s="54">
        <v>9250</v>
      </c>
      <c r="F98" s="324"/>
      <c r="G98" s="325">
        <f t="shared" si="1"/>
        <v>0</v>
      </c>
      <c r="H98" s="269"/>
    </row>
    <row r="99" spans="1:8" ht="17.25" x14ac:dyDescent="0.3">
      <c r="A99" s="179"/>
      <c r="B99" s="321">
        <v>92</v>
      </c>
      <c r="C99" s="222" t="s">
        <v>53</v>
      </c>
      <c r="D99" s="54">
        <v>9250</v>
      </c>
      <c r="E99" s="54">
        <v>9250</v>
      </c>
      <c r="F99" s="324"/>
      <c r="G99" s="325">
        <f t="shared" si="1"/>
        <v>0</v>
      </c>
      <c r="H99" s="269"/>
    </row>
    <row r="100" spans="1:8" ht="17.25" x14ac:dyDescent="0.3">
      <c r="A100" s="179" t="s">
        <v>1863</v>
      </c>
      <c r="B100" s="321" t="s">
        <v>1873</v>
      </c>
      <c r="C100" s="222" t="s">
        <v>487</v>
      </c>
      <c r="D100" s="54">
        <v>9250</v>
      </c>
      <c r="E100" s="54">
        <v>9250</v>
      </c>
      <c r="F100" s="324"/>
      <c r="G100" s="325">
        <f t="shared" si="1"/>
        <v>0</v>
      </c>
      <c r="H100" s="269"/>
    </row>
    <row r="101" spans="1:8" ht="17.25" x14ac:dyDescent="0.3">
      <c r="A101" s="179" t="s">
        <v>1866</v>
      </c>
      <c r="B101" s="321" t="s">
        <v>1867</v>
      </c>
      <c r="C101" s="222" t="s">
        <v>104</v>
      </c>
      <c r="D101" s="54">
        <v>9250</v>
      </c>
      <c r="E101" s="54">
        <v>9250</v>
      </c>
      <c r="F101" s="324"/>
      <c r="G101" s="325">
        <f t="shared" si="1"/>
        <v>0</v>
      </c>
      <c r="H101" s="269"/>
    </row>
    <row r="102" spans="1:8" ht="17.25" x14ac:dyDescent="0.3">
      <c r="A102" s="179" t="s">
        <v>1693</v>
      </c>
      <c r="B102" s="321" t="s">
        <v>1711</v>
      </c>
      <c r="C102" s="222" t="s">
        <v>38</v>
      </c>
      <c r="D102" s="54">
        <v>9250</v>
      </c>
      <c r="E102" s="54">
        <v>9250</v>
      </c>
      <c r="F102" s="324"/>
      <c r="G102" s="325">
        <f t="shared" si="1"/>
        <v>0</v>
      </c>
      <c r="H102" s="269"/>
    </row>
    <row r="103" spans="1:8" ht="17.25" x14ac:dyDescent="0.3">
      <c r="A103" s="179"/>
      <c r="B103" s="321" t="s">
        <v>2037</v>
      </c>
      <c r="C103" s="222" t="s">
        <v>87</v>
      </c>
      <c r="D103" s="54">
        <v>9250</v>
      </c>
      <c r="E103" s="54">
        <v>9250</v>
      </c>
      <c r="F103" s="324"/>
      <c r="G103" s="325">
        <f t="shared" si="1"/>
        <v>0</v>
      </c>
      <c r="H103" s="269"/>
    </row>
    <row r="104" spans="1:8" ht="17.25" x14ac:dyDescent="0.3">
      <c r="A104" s="179"/>
      <c r="B104" s="321">
        <v>97</v>
      </c>
      <c r="C104" s="222" t="s">
        <v>480</v>
      </c>
      <c r="D104" s="54">
        <v>15250</v>
      </c>
      <c r="E104" s="323">
        <v>13250</v>
      </c>
      <c r="F104" s="324"/>
      <c r="G104" s="325">
        <f t="shared" si="1"/>
        <v>2000</v>
      </c>
      <c r="H104" s="269"/>
    </row>
    <row r="105" spans="1:8" ht="17.25" x14ac:dyDescent="0.3">
      <c r="A105" s="179" t="s">
        <v>1592</v>
      </c>
      <c r="B105" s="321" t="s">
        <v>1673</v>
      </c>
      <c r="C105" s="222" t="s">
        <v>495</v>
      </c>
      <c r="D105" s="54">
        <v>15250</v>
      </c>
      <c r="E105" s="323">
        <v>15250</v>
      </c>
      <c r="F105" s="324"/>
      <c r="G105" s="325">
        <f t="shared" si="1"/>
        <v>0</v>
      </c>
      <c r="H105" s="269"/>
    </row>
    <row r="106" spans="1:8" ht="17.25" x14ac:dyDescent="0.3">
      <c r="A106" s="179"/>
      <c r="B106" s="321">
        <v>99</v>
      </c>
      <c r="C106" s="222" t="s">
        <v>476</v>
      </c>
      <c r="D106" s="54">
        <v>15250</v>
      </c>
      <c r="E106" s="54">
        <v>15250</v>
      </c>
      <c r="F106" s="324"/>
      <c r="G106" s="325">
        <f t="shared" si="1"/>
        <v>0</v>
      </c>
      <c r="H106" s="269"/>
    </row>
    <row r="107" spans="1:8" ht="17.25" x14ac:dyDescent="0.3">
      <c r="A107" s="179"/>
      <c r="B107" s="321">
        <v>100</v>
      </c>
      <c r="C107" s="222" t="s">
        <v>65</v>
      </c>
      <c r="D107" s="54">
        <v>15250</v>
      </c>
      <c r="E107" s="323">
        <v>13250</v>
      </c>
      <c r="F107" s="324"/>
      <c r="G107" s="325">
        <f t="shared" si="1"/>
        <v>2000</v>
      </c>
      <c r="H107" s="269"/>
    </row>
    <row r="108" spans="1:8" ht="17.25" x14ac:dyDescent="0.3">
      <c r="A108" s="179"/>
      <c r="B108" s="321">
        <v>101</v>
      </c>
      <c r="C108" s="222" t="s">
        <v>1332</v>
      </c>
      <c r="D108" s="54">
        <v>15250</v>
      </c>
      <c r="E108" s="54">
        <v>15250</v>
      </c>
      <c r="F108" s="324"/>
      <c r="G108" s="325">
        <f t="shared" si="1"/>
        <v>0</v>
      </c>
      <c r="H108" s="269"/>
    </row>
    <row r="109" spans="1:8" ht="17.25" x14ac:dyDescent="0.3">
      <c r="A109" s="179" t="s">
        <v>1866</v>
      </c>
      <c r="B109" s="321" t="s">
        <v>1869</v>
      </c>
      <c r="C109" s="222" t="s">
        <v>503</v>
      </c>
      <c r="D109" s="54">
        <v>9250</v>
      </c>
      <c r="E109" s="54">
        <v>9250</v>
      </c>
      <c r="F109" s="324"/>
      <c r="G109" s="325">
        <f t="shared" si="1"/>
        <v>0</v>
      </c>
      <c r="H109" s="269"/>
    </row>
    <row r="110" spans="1:8" ht="17.25" x14ac:dyDescent="0.3">
      <c r="A110" s="179"/>
      <c r="B110" s="321" t="s">
        <v>2301</v>
      </c>
      <c r="C110" s="222" t="s">
        <v>498</v>
      </c>
      <c r="D110" s="54">
        <v>9250</v>
      </c>
      <c r="E110" s="54">
        <v>9250</v>
      </c>
      <c r="F110" s="324"/>
      <c r="G110" s="325">
        <f t="shared" si="1"/>
        <v>0</v>
      </c>
      <c r="H110" s="269"/>
    </row>
    <row r="111" spans="1:8" ht="17.25" x14ac:dyDescent="0.3">
      <c r="A111" s="179" t="s">
        <v>1670</v>
      </c>
      <c r="B111" s="321" t="s">
        <v>1675</v>
      </c>
      <c r="C111" s="222" t="s">
        <v>525</v>
      </c>
      <c r="D111" s="54">
        <v>9250</v>
      </c>
      <c r="E111" s="54">
        <v>9250</v>
      </c>
      <c r="F111" s="324"/>
      <c r="G111" s="325">
        <f t="shared" si="1"/>
        <v>0</v>
      </c>
      <c r="H111" s="269"/>
    </row>
    <row r="112" spans="1:8" ht="17.25" x14ac:dyDescent="0.3">
      <c r="A112" s="179" t="s">
        <v>1670</v>
      </c>
      <c r="B112" s="321" t="s">
        <v>1675</v>
      </c>
      <c r="C112" s="222" t="s">
        <v>99</v>
      </c>
      <c r="D112" s="54">
        <v>9250</v>
      </c>
      <c r="E112" s="54">
        <v>9250</v>
      </c>
      <c r="F112" s="324"/>
      <c r="G112" s="325">
        <f t="shared" si="1"/>
        <v>0</v>
      </c>
      <c r="H112" s="269"/>
    </row>
    <row r="113" spans="1:8" ht="17.25" x14ac:dyDescent="0.3">
      <c r="A113" s="179" t="s">
        <v>1866</v>
      </c>
      <c r="B113" s="321" t="s">
        <v>1867</v>
      </c>
      <c r="C113" s="222" t="s">
        <v>518</v>
      </c>
      <c r="D113" s="54">
        <v>9250</v>
      </c>
      <c r="E113" s="54">
        <v>9250</v>
      </c>
      <c r="F113" s="324"/>
      <c r="G113" s="325">
        <f t="shared" si="1"/>
        <v>0</v>
      </c>
      <c r="H113" s="269"/>
    </row>
    <row r="114" spans="1:8" ht="17.25" x14ac:dyDescent="0.3">
      <c r="A114" s="179"/>
      <c r="B114" s="321" t="s">
        <v>2301</v>
      </c>
      <c r="C114" s="222" t="s">
        <v>501</v>
      </c>
      <c r="D114" s="54">
        <v>9250</v>
      </c>
      <c r="E114" s="54">
        <v>9250</v>
      </c>
      <c r="F114" s="324"/>
      <c r="G114" s="325">
        <f t="shared" si="1"/>
        <v>0</v>
      </c>
      <c r="H114" s="269"/>
    </row>
    <row r="115" spans="1:8" ht="17.25" x14ac:dyDescent="0.3">
      <c r="A115" s="179" t="s">
        <v>1866</v>
      </c>
      <c r="B115" s="321" t="s">
        <v>1869</v>
      </c>
      <c r="C115" s="222" t="s">
        <v>529</v>
      </c>
      <c r="D115" s="54">
        <v>9250</v>
      </c>
      <c r="E115" s="54">
        <v>9250</v>
      </c>
      <c r="F115" s="324"/>
      <c r="G115" s="325">
        <f t="shared" si="1"/>
        <v>0</v>
      </c>
      <c r="H115" s="269"/>
    </row>
    <row r="116" spans="1:8" ht="17.25" x14ac:dyDescent="0.3">
      <c r="A116" s="179" t="s">
        <v>1592</v>
      </c>
      <c r="B116" s="321" t="s">
        <v>1673</v>
      </c>
      <c r="C116" s="222" t="s">
        <v>540</v>
      </c>
      <c r="D116" s="54">
        <v>9250</v>
      </c>
      <c r="E116" s="54">
        <v>9250</v>
      </c>
      <c r="F116" s="324"/>
      <c r="G116" s="325">
        <f t="shared" si="1"/>
        <v>0</v>
      </c>
      <c r="H116" s="269"/>
    </row>
    <row r="117" spans="1:8" ht="17.25" x14ac:dyDescent="0.3">
      <c r="A117" s="179"/>
      <c r="B117" s="321" t="s">
        <v>2301</v>
      </c>
      <c r="C117" s="222" t="s">
        <v>524</v>
      </c>
      <c r="D117" s="54">
        <v>9250</v>
      </c>
      <c r="E117" s="54">
        <v>9250</v>
      </c>
      <c r="F117" s="324"/>
      <c r="G117" s="325">
        <f t="shared" si="1"/>
        <v>0</v>
      </c>
      <c r="H117" s="269"/>
    </row>
    <row r="118" spans="1:8" ht="17.25" x14ac:dyDescent="0.3">
      <c r="A118" s="179" t="s">
        <v>1592</v>
      </c>
      <c r="B118" s="321" t="s">
        <v>1673</v>
      </c>
      <c r="C118" s="222" t="s">
        <v>512</v>
      </c>
      <c r="D118" s="54">
        <v>9250</v>
      </c>
      <c r="E118" s="54">
        <v>9250</v>
      </c>
      <c r="F118" s="324"/>
      <c r="G118" s="325">
        <f t="shared" si="1"/>
        <v>0</v>
      </c>
      <c r="H118" s="269"/>
    </row>
    <row r="119" spans="1:8" ht="17.25" x14ac:dyDescent="0.3">
      <c r="A119" s="179" t="s">
        <v>1866</v>
      </c>
      <c r="B119" s="321" t="s">
        <v>1867</v>
      </c>
      <c r="C119" s="222" t="s">
        <v>514</v>
      </c>
      <c r="D119" s="54">
        <v>9250</v>
      </c>
      <c r="E119" s="54">
        <v>9250</v>
      </c>
      <c r="F119" s="324"/>
      <c r="G119" s="325">
        <f t="shared" si="1"/>
        <v>0</v>
      </c>
      <c r="H119" s="269"/>
    </row>
    <row r="120" spans="1:8" ht="17.25" x14ac:dyDescent="0.3">
      <c r="A120" s="179" t="s">
        <v>1868</v>
      </c>
      <c r="B120" s="321" t="s">
        <v>1867</v>
      </c>
      <c r="C120" s="222" t="s">
        <v>60</v>
      </c>
      <c r="D120" s="54">
        <v>9250</v>
      </c>
      <c r="E120" s="54">
        <v>9250</v>
      </c>
      <c r="F120" s="324"/>
      <c r="G120" s="325">
        <f t="shared" si="1"/>
        <v>0</v>
      </c>
      <c r="H120" s="269"/>
    </row>
    <row r="121" spans="1:8" ht="17.25" x14ac:dyDescent="0.3">
      <c r="A121" s="179" t="s">
        <v>1670</v>
      </c>
      <c r="B121" s="321" t="s">
        <v>1675</v>
      </c>
      <c r="C121" s="222" t="s">
        <v>517</v>
      </c>
      <c r="D121" s="54">
        <v>9250</v>
      </c>
      <c r="E121" s="54">
        <v>9250</v>
      </c>
      <c r="F121" s="324"/>
      <c r="G121" s="325">
        <f t="shared" si="1"/>
        <v>0</v>
      </c>
      <c r="H121" s="269"/>
    </row>
    <row r="122" spans="1:8" ht="17.25" x14ac:dyDescent="0.3">
      <c r="A122" s="179" t="s">
        <v>1866</v>
      </c>
      <c r="B122" s="321" t="s">
        <v>1869</v>
      </c>
      <c r="C122" s="222" t="s">
        <v>513</v>
      </c>
      <c r="D122" s="54">
        <v>9250</v>
      </c>
      <c r="E122" s="54">
        <v>9250</v>
      </c>
      <c r="F122" s="324"/>
      <c r="G122" s="325">
        <f t="shared" si="1"/>
        <v>0</v>
      </c>
      <c r="H122" s="269"/>
    </row>
    <row r="123" spans="1:8" ht="17.25" x14ac:dyDescent="0.3">
      <c r="A123" s="179"/>
      <c r="B123" s="321">
        <v>116</v>
      </c>
      <c r="C123" s="222" t="s">
        <v>542</v>
      </c>
      <c r="D123" s="54">
        <v>9250</v>
      </c>
      <c r="E123" s="54">
        <v>9250</v>
      </c>
      <c r="F123" s="324"/>
      <c r="G123" s="325">
        <f t="shared" si="1"/>
        <v>0</v>
      </c>
      <c r="H123" s="269"/>
    </row>
    <row r="124" spans="1:8" ht="17.25" x14ac:dyDescent="0.3">
      <c r="A124" s="179" t="s">
        <v>1592</v>
      </c>
      <c r="B124" s="321" t="s">
        <v>1673</v>
      </c>
      <c r="C124" s="222" t="s">
        <v>500</v>
      </c>
      <c r="D124" s="54">
        <v>9250</v>
      </c>
      <c r="E124" s="54">
        <v>9250</v>
      </c>
      <c r="F124" s="324"/>
      <c r="G124" s="325">
        <f t="shared" si="1"/>
        <v>0</v>
      </c>
      <c r="H124" s="269"/>
    </row>
    <row r="125" spans="1:8" ht="17.25" x14ac:dyDescent="0.3">
      <c r="A125" s="179"/>
      <c r="B125" s="321">
        <v>118</v>
      </c>
      <c r="C125" s="222" t="s">
        <v>504</v>
      </c>
      <c r="D125" s="54">
        <v>9250</v>
      </c>
      <c r="E125" s="54">
        <v>9250</v>
      </c>
      <c r="F125" s="324"/>
      <c r="G125" s="325">
        <f t="shared" si="1"/>
        <v>0</v>
      </c>
      <c r="H125" s="269"/>
    </row>
    <row r="126" spans="1:8" ht="17.25" x14ac:dyDescent="0.3">
      <c r="A126" s="179"/>
      <c r="B126" s="321">
        <v>119</v>
      </c>
      <c r="C126" s="222" t="s">
        <v>516</v>
      </c>
      <c r="D126" s="54">
        <v>9250</v>
      </c>
      <c r="E126" s="54">
        <v>9250</v>
      </c>
      <c r="F126" s="324"/>
      <c r="G126" s="325">
        <f t="shared" si="1"/>
        <v>0</v>
      </c>
      <c r="H126" s="269"/>
    </row>
    <row r="127" spans="1:8" ht="17.25" x14ac:dyDescent="0.3">
      <c r="A127" s="179"/>
      <c r="B127" s="321" t="s">
        <v>2302</v>
      </c>
      <c r="C127" s="222" t="s">
        <v>511</v>
      </c>
      <c r="D127" s="54">
        <v>9250</v>
      </c>
      <c r="E127" s="54">
        <v>9250</v>
      </c>
      <c r="F127" s="324"/>
      <c r="G127" s="325">
        <f t="shared" si="1"/>
        <v>0</v>
      </c>
      <c r="H127" s="269"/>
    </row>
    <row r="128" spans="1:8" ht="17.25" x14ac:dyDescent="0.3">
      <c r="A128" s="179" t="s">
        <v>1670</v>
      </c>
      <c r="B128" s="321" t="s">
        <v>1675</v>
      </c>
      <c r="C128" s="222" t="s">
        <v>519</v>
      </c>
      <c r="D128" s="54">
        <v>9250</v>
      </c>
      <c r="E128" s="54">
        <v>9250</v>
      </c>
      <c r="F128" s="324"/>
      <c r="G128" s="325">
        <f t="shared" si="1"/>
        <v>0</v>
      </c>
      <c r="H128" s="269"/>
    </row>
    <row r="129" spans="1:8" ht="17.25" x14ac:dyDescent="0.3">
      <c r="A129" s="179"/>
      <c r="B129" s="321">
        <v>122</v>
      </c>
      <c r="C129" s="222" t="s">
        <v>89</v>
      </c>
      <c r="D129" s="54">
        <v>9250</v>
      </c>
      <c r="E129" s="54">
        <v>9250</v>
      </c>
      <c r="F129" s="324"/>
      <c r="G129" s="325">
        <f t="shared" si="1"/>
        <v>0</v>
      </c>
      <c r="H129" s="269"/>
    </row>
    <row r="130" spans="1:8" ht="17.25" x14ac:dyDescent="0.3">
      <c r="A130" s="179"/>
      <c r="B130" s="321">
        <v>123</v>
      </c>
      <c r="C130" s="222" t="s">
        <v>534</v>
      </c>
      <c r="D130" s="54">
        <v>9250</v>
      </c>
      <c r="E130" s="54">
        <v>9250</v>
      </c>
      <c r="F130" s="324"/>
      <c r="G130" s="325">
        <f t="shared" si="1"/>
        <v>0</v>
      </c>
      <c r="H130" s="269"/>
    </row>
    <row r="131" spans="1:8" ht="17.25" x14ac:dyDescent="0.3">
      <c r="A131" s="179"/>
      <c r="B131" s="321">
        <v>124</v>
      </c>
      <c r="C131" s="222" t="s">
        <v>465</v>
      </c>
      <c r="D131" s="54">
        <v>9250</v>
      </c>
      <c r="E131" s="54">
        <v>9250</v>
      </c>
      <c r="F131" s="324"/>
      <c r="G131" s="325">
        <f t="shared" si="1"/>
        <v>0</v>
      </c>
      <c r="H131" s="269"/>
    </row>
    <row r="132" spans="1:8" ht="17.25" x14ac:dyDescent="0.3">
      <c r="A132" s="179" t="s">
        <v>1606</v>
      </c>
      <c r="B132" s="321" t="s">
        <v>1674</v>
      </c>
      <c r="C132" s="222" t="s">
        <v>1333</v>
      </c>
      <c r="D132" s="54">
        <v>9250</v>
      </c>
      <c r="E132" s="54">
        <v>9250</v>
      </c>
      <c r="F132" s="324"/>
      <c r="G132" s="325">
        <f t="shared" si="1"/>
        <v>0</v>
      </c>
      <c r="H132" s="269"/>
    </row>
    <row r="133" spans="1:8" ht="17.25" x14ac:dyDescent="0.3">
      <c r="A133" s="179" t="s">
        <v>1606</v>
      </c>
      <c r="B133" s="321" t="s">
        <v>1674</v>
      </c>
      <c r="C133" s="222" t="s">
        <v>535</v>
      </c>
      <c r="D133" s="54">
        <v>9250</v>
      </c>
      <c r="E133" s="54">
        <v>9250</v>
      </c>
      <c r="F133" s="324"/>
      <c r="G133" s="325">
        <f t="shared" si="1"/>
        <v>0</v>
      </c>
      <c r="H133" s="269"/>
    </row>
    <row r="134" spans="1:8" ht="17.25" x14ac:dyDescent="0.3">
      <c r="A134" s="179"/>
      <c r="B134" s="321">
        <v>127</v>
      </c>
      <c r="C134" s="222" t="s">
        <v>522</v>
      </c>
      <c r="D134" s="54">
        <v>9250</v>
      </c>
      <c r="E134" s="54">
        <v>9250</v>
      </c>
      <c r="F134" s="324"/>
      <c r="G134" s="325">
        <f t="shared" si="1"/>
        <v>0</v>
      </c>
      <c r="H134" s="269"/>
    </row>
    <row r="135" spans="1:8" ht="17.25" x14ac:dyDescent="0.3">
      <c r="A135" s="179" t="s">
        <v>1866</v>
      </c>
      <c r="B135" s="321" t="s">
        <v>1867</v>
      </c>
      <c r="C135" s="222" t="s">
        <v>527</v>
      </c>
      <c r="D135" s="54">
        <v>9250</v>
      </c>
      <c r="E135" s="54">
        <v>9250</v>
      </c>
      <c r="F135" s="324"/>
      <c r="G135" s="325">
        <f t="shared" si="1"/>
        <v>0</v>
      </c>
      <c r="H135" s="269"/>
    </row>
    <row r="136" spans="1:8" ht="17.25" x14ac:dyDescent="0.3">
      <c r="A136" s="179" t="s">
        <v>1866</v>
      </c>
      <c r="B136" s="321" t="s">
        <v>1867</v>
      </c>
      <c r="C136" s="222" t="s">
        <v>502</v>
      </c>
      <c r="D136" s="54">
        <v>9250</v>
      </c>
      <c r="E136" s="54">
        <v>9250</v>
      </c>
      <c r="F136" s="324"/>
      <c r="G136" s="325">
        <f t="shared" si="1"/>
        <v>0</v>
      </c>
      <c r="H136" s="269"/>
    </row>
    <row r="137" spans="1:8" ht="17.25" x14ac:dyDescent="0.3">
      <c r="A137" s="179" t="s">
        <v>1872</v>
      </c>
      <c r="B137" s="321" t="s">
        <v>1869</v>
      </c>
      <c r="C137" s="222" t="s">
        <v>505</v>
      </c>
      <c r="D137" s="54">
        <v>9250</v>
      </c>
      <c r="E137" s="54">
        <v>9250</v>
      </c>
      <c r="F137" s="324"/>
      <c r="G137" s="325">
        <f t="shared" ref="G137:G198" si="2">D137-E137-F137</f>
        <v>0</v>
      </c>
      <c r="H137" s="269"/>
    </row>
    <row r="138" spans="1:8" ht="17.25" x14ac:dyDescent="0.3">
      <c r="A138" s="179"/>
      <c r="B138" s="321">
        <v>131</v>
      </c>
      <c r="C138" s="222" t="s">
        <v>508</v>
      </c>
      <c r="D138" s="54">
        <v>9250</v>
      </c>
      <c r="E138" s="54">
        <v>9250</v>
      </c>
      <c r="F138" s="324"/>
      <c r="G138" s="325">
        <f t="shared" si="2"/>
        <v>0</v>
      </c>
      <c r="H138" s="269"/>
    </row>
    <row r="139" spans="1:8" ht="17.25" x14ac:dyDescent="0.3">
      <c r="A139" s="179"/>
      <c r="B139" s="321">
        <v>132</v>
      </c>
      <c r="C139" s="222" t="s">
        <v>58</v>
      </c>
      <c r="D139" s="54">
        <v>9250</v>
      </c>
      <c r="E139" s="54">
        <v>9250</v>
      </c>
      <c r="F139" s="324"/>
      <c r="G139" s="325">
        <f t="shared" si="2"/>
        <v>0</v>
      </c>
      <c r="H139" s="269"/>
    </row>
    <row r="140" spans="1:8" ht="17.25" x14ac:dyDescent="0.3">
      <c r="A140" s="179" t="s">
        <v>2058</v>
      </c>
      <c r="B140" s="321" t="s">
        <v>2066</v>
      </c>
      <c r="C140" s="222" t="s">
        <v>59</v>
      </c>
      <c r="D140" s="54">
        <v>9250</v>
      </c>
      <c r="E140" s="54">
        <v>9250</v>
      </c>
      <c r="F140" s="324"/>
      <c r="G140" s="325">
        <f t="shared" si="2"/>
        <v>0</v>
      </c>
      <c r="H140" s="269"/>
    </row>
    <row r="141" spans="1:8" ht="17.25" x14ac:dyDescent="0.3">
      <c r="A141" s="179"/>
      <c r="B141" s="321">
        <v>134</v>
      </c>
      <c r="C141" s="222" t="s">
        <v>536</v>
      </c>
      <c r="D141" s="54">
        <v>9250</v>
      </c>
      <c r="E141" s="54">
        <v>9250</v>
      </c>
      <c r="F141" s="324"/>
      <c r="G141" s="325">
        <f t="shared" si="2"/>
        <v>0</v>
      </c>
      <c r="H141" s="269"/>
    </row>
    <row r="142" spans="1:8" ht="17.25" x14ac:dyDescent="0.3">
      <c r="A142" s="179" t="s">
        <v>1866</v>
      </c>
      <c r="B142" s="321" t="s">
        <v>1867</v>
      </c>
      <c r="C142" s="222" t="s">
        <v>90</v>
      </c>
      <c r="D142" s="54">
        <v>9250</v>
      </c>
      <c r="E142" s="54">
        <v>9250</v>
      </c>
      <c r="F142" s="324"/>
      <c r="G142" s="325">
        <f t="shared" si="2"/>
        <v>0</v>
      </c>
      <c r="H142" s="269"/>
    </row>
    <row r="143" spans="1:8" ht="17.25" x14ac:dyDescent="0.3">
      <c r="A143" s="179"/>
      <c r="B143" s="321">
        <v>136</v>
      </c>
      <c r="C143" s="222" t="s">
        <v>56</v>
      </c>
      <c r="D143" s="54">
        <v>9250</v>
      </c>
      <c r="E143" s="54">
        <v>9250</v>
      </c>
      <c r="F143" s="324"/>
      <c r="G143" s="325">
        <f t="shared" si="2"/>
        <v>0</v>
      </c>
      <c r="H143" s="269"/>
    </row>
    <row r="144" spans="1:8" ht="17.25" x14ac:dyDescent="0.3">
      <c r="A144" s="179" t="s">
        <v>1670</v>
      </c>
      <c r="B144" s="321" t="s">
        <v>1675</v>
      </c>
      <c r="C144" s="222" t="s">
        <v>530</v>
      </c>
      <c r="D144" s="54">
        <v>9250</v>
      </c>
      <c r="E144" s="54">
        <v>9250</v>
      </c>
      <c r="F144" s="324"/>
      <c r="G144" s="325">
        <f t="shared" si="2"/>
        <v>0</v>
      </c>
      <c r="H144" s="269"/>
    </row>
    <row r="145" spans="1:8" ht="17.25" x14ac:dyDescent="0.3">
      <c r="A145" s="179" t="s">
        <v>1863</v>
      </c>
      <c r="B145" s="321" t="s">
        <v>1877</v>
      </c>
      <c r="C145" s="222" t="s">
        <v>521</v>
      </c>
      <c r="D145" s="54">
        <v>9250</v>
      </c>
      <c r="E145" s="54">
        <v>9250</v>
      </c>
      <c r="F145" s="324"/>
      <c r="G145" s="325">
        <f t="shared" si="2"/>
        <v>0</v>
      </c>
      <c r="H145" s="269"/>
    </row>
    <row r="146" spans="1:8" ht="17.25" x14ac:dyDescent="0.3">
      <c r="A146" s="179"/>
      <c r="B146" s="321">
        <v>139</v>
      </c>
      <c r="C146" s="222" t="s">
        <v>1334</v>
      </c>
      <c r="D146" s="54">
        <v>9250</v>
      </c>
      <c r="E146" s="54">
        <v>9250</v>
      </c>
      <c r="F146" s="324"/>
      <c r="G146" s="325">
        <f t="shared" si="2"/>
        <v>0</v>
      </c>
      <c r="H146" s="269"/>
    </row>
    <row r="147" spans="1:8" ht="17.25" x14ac:dyDescent="0.3">
      <c r="A147" s="179" t="s">
        <v>1863</v>
      </c>
      <c r="B147" s="321" t="s">
        <v>1877</v>
      </c>
      <c r="C147" s="222" t="s">
        <v>532</v>
      </c>
      <c r="D147" s="54">
        <v>9250</v>
      </c>
      <c r="E147" s="54">
        <v>9250</v>
      </c>
      <c r="F147" s="324"/>
      <c r="G147" s="325">
        <f t="shared" si="2"/>
        <v>0</v>
      </c>
      <c r="H147" s="269"/>
    </row>
    <row r="148" spans="1:8" ht="17.25" x14ac:dyDescent="0.3">
      <c r="A148" s="179" t="s">
        <v>1866</v>
      </c>
      <c r="B148" s="321" t="s">
        <v>1869</v>
      </c>
      <c r="C148" s="222" t="s">
        <v>510</v>
      </c>
      <c r="D148" s="54">
        <v>9250</v>
      </c>
      <c r="E148" s="54">
        <v>9250</v>
      </c>
      <c r="F148" s="324"/>
      <c r="G148" s="325">
        <f t="shared" si="2"/>
        <v>0</v>
      </c>
      <c r="H148" s="269"/>
    </row>
    <row r="149" spans="1:8" ht="17.25" x14ac:dyDescent="0.3">
      <c r="A149" s="179" t="s">
        <v>1670</v>
      </c>
      <c r="B149" s="321" t="s">
        <v>1675</v>
      </c>
      <c r="C149" s="222" t="s">
        <v>499</v>
      </c>
      <c r="D149" s="54">
        <v>9250</v>
      </c>
      <c r="E149" s="54">
        <v>9250</v>
      </c>
      <c r="F149" s="324"/>
      <c r="G149" s="325">
        <f t="shared" si="2"/>
        <v>0</v>
      </c>
      <c r="H149" s="269"/>
    </row>
    <row r="150" spans="1:8" ht="17.25" x14ac:dyDescent="0.3">
      <c r="A150" s="179" t="s">
        <v>1866</v>
      </c>
      <c r="B150" s="321" t="s">
        <v>1867</v>
      </c>
      <c r="C150" s="222" t="s">
        <v>66</v>
      </c>
      <c r="D150" s="54">
        <v>9250</v>
      </c>
      <c r="E150" s="323">
        <v>9250</v>
      </c>
      <c r="F150" s="324"/>
      <c r="G150" s="325">
        <f t="shared" si="2"/>
        <v>0</v>
      </c>
      <c r="H150" s="269"/>
    </row>
    <row r="151" spans="1:8" ht="17.25" x14ac:dyDescent="0.3">
      <c r="A151" s="179" t="s">
        <v>1863</v>
      </c>
      <c r="B151" s="321" t="s">
        <v>1873</v>
      </c>
      <c r="C151" s="222" t="s">
        <v>98</v>
      </c>
      <c r="D151" s="54">
        <v>9250</v>
      </c>
      <c r="E151" s="54">
        <v>9250</v>
      </c>
      <c r="F151" s="324"/>
      <c r="G151" s="325">
        <f t="shared" si="2"/>
        <v>0</v>
      </c>
      <c r="H151" s="269"/>
    </row>
    <row r="152" spans="1:8" ht="17.25" x14ac:dyDescent="0.3">
      <c r="A152" s="179"/>
      <c r="B152" s="321" t="s">
        <v>2302</v>
      </c>
      <c r="C152" s="222" t="s">
        <v>515</v>
      </c>
      <c r="D152" s="54">
        <v>9250</v>
      </c>
      <c r="E152" s="54">
        <v>9250</v>
      </c>
      <c r="F152" s="324"/>
      <c r="G152" s="325">
        <f t="shared" si="2"/>
        <v>0</v>
      </c>
      <c r="H152" s="269"/>
    </row>
    <row r="153" spans="1:8" ht="17.25" x14ac:dyDescent="0.3">
      <c r="A153" s="179" t="s">
        <v>1606</v>
      </c>
      <c r="B153" s="321" t="s">
        <v>1674</v>
      </c>
      <c r="C153" s="222" t="s">
        <v>100</v>
      </c>
      <c r="D153" s="54">
        <v>9250</v>
      </c>
      <c r="E153" s="54">
        <v>9250</v>
      </c>
      <c r="F153" s="324"/>
      <c r="G153" s="325">
        <f t="shared" si="2"/>
        <v>0</v>
      </c>
      <c r="H153" s="269"/>
    </row>
    <row r="154" spans="1:8" ht="17.25" x14ac:dyDescent="0.3">
      <c r="A154" s="179"/>
      <c r="B154" s="321">
        <v>147</v>
      </c>
      <c r="C154" s="222" t="s">
        <v>57</v>
      </c>
      <c r="D154" s="54">
        <v>9250</v>
      </c>
      <c r="E154" s="54">
        <v>9250</v>
      </c>
      <c r="F154" s="324"/>
      <c r="G154" s="325">
        <f t="shared" si="2"/>
        <v>0</v>
      </c>
      <c r="H154" s="269"/>
    </row>
    <row r="155" spans="1:8" ht="17.25" x14ac:dyDescent="0.3">
      <c r="A155" s="179"/>
      <c r="B155" s="321">
        <v>148</v>
      </c>
      <c r="C155" s="222" t="s">
        <v>533</v>
      </c>
      <c r="D155" s="54">
        <v>9250</v>
      </c>
      <c r="E155" s="54">
        <v>9250</v>
      </c>
      <c r="F155" s="324"/>
      <c r="G155" s="325">
        <f t="shared" si="2"/>
        <v>0</v>
      </c>
      <c r="H155" s="269"/>
    </row>
    <row r="156" spans="1:8" ht="17.25" x14ac:dyDescent="0.3">
      <c r="A156" s="179"/>
      <c r="B156" s="321">
        <v>149</v>
      </c>
      <c r="C156" s="222" t="s">
        <v>526</v>
      </c>
      <c r="D156" s="54">
        <v>9250</v>
      </c>
      <c r="E156" s="54">
        <v>9250</v>
      </c>
      <c r="F156" s="324"/>
      <c r="G156" s="325">
        <f t="shared" si="2"/>
        <v>0</v>
      </c>
      <c r="H156" s="269"/>
    </row>
    <row r="157" spans="1:8" ht="17.25" x14ac:dyDescent="0.3">
      <c r="A157" s="179" t="s">
        <v>1863</v>
      </c>
      <c r="B157" s="321" t="s">
        <v>1873</v>
      </c>
      <c r="C157" s="222" t="s">
        <v>520</v>
      </c>
      <c r="D157" s="54">
        <v>9250</v>
      </c>
      <c r="E157" s="54">
        <v>9250</v>
      </c>
      <c r="F157" s="324"/>
      <c r="G157" s="325">
        <f t="shared" si="2"/>
        <v>0</v>
      </c>
      <c r="H157" s="269"/>
    </row>
    <row r="158" spans="1:8" ht="17.25" x14ac:dyDescent="0.3">
      <c r="A158" s="179" t="s">
        <v>1670</v>
      </c>
      <c r="B158" s="321" t="s">
        <v>1675</v>
      </c>
      <c r="C158" s="222" t="s">
        <v>506</v>
      </c>
      <c r="D158" s="54">
        <v>9250</v>
      </c>
      <c r="E158" s="54">
        <v>9250</v>
      </c>
      <c r="F158" s="324"/>
      <c r="G158" s="325">
        <f t="shared" si="2"/>
        <v>0</v>
      </c>
      <c r="H158" s="269"/>
    </row>
    <row r="159" spans="1:8" ht="17.25" x14ac:dyDescent="0.3">
      <c r="A159" s="179"/>
      <c r="B159" s="321">
        <v>152</v>
      </c>
      <c r="C159" s="222" t="s">
        <v>92</v>
      </c>
      <c r="D159" s="54">
        <v>15250</v>
      </c>
      <c r="E159" s="54">
        <v>15250</v>
      </c>
      <c r="F159" s="324"/>
      <c r="G159" s="325">
        <f t="shared" si="2"/>
        <v>0</v>
      </c>
      <c r="H159" s="269"/>
    </row>
    <row r="160" spans="1:8" ht="17.25" x14ac:dyDescent="0.3">
      <c r="A160" s="179"/>
      <c r="B160" s="321" t="s">
        <v>2301</v>
      </c>
      <c r="C160" s="222" t="s">
        <v>507</v>
      </c>
      <c r="D160" s="54">
        <v>15250</v>
      </c>
      <c r="E160" s="54">
        <v>15250</v>
      </c>
      <c r="F160" s="324"/>
      <c r="G160" s="325">
        <f t="shared" si="2"/>
        <v>0</v>
      </c>
      <c r="H160" s="269"/>
    </row>
    <row r="161" spans="1:8" ht="17.25" x14ac:dyDescent="0.3">
      <c r="A161" s="179"/>
      <c r="B161" s="321">
        <v>154</v>
      </c>
      <c r="C161" s="222" t="s">
        <v>537</v>
      </c>
      <c r="D161" s="54">
        <v>15250</v>
      </c>
      <c r="E161" s="54">
        <v>15250</v>
      </c>
      <c r="F161" s="324"/>
      <c r="G161" s="325">
        <f t="shared" si="2"/>
        <v>0</v>
      </c>
      <c r="H161" s="269"/>
    </row>
    <row r="162" spans="1:8" ht="17.25" x14ac:dyDescent="0.3">
      <c r="A162" s="179"/>
      <c r="B162" s="321">
        <v>155</v>
      </c>
      <c r="C162" s="222" t="s">
        <v>531</v>
      </c>
      <c r="D162" s="54">
        <v>15250</v>
      </c>
      <c r="E162" s="54">
        <v>15250</v>
      </c>
      <c r="F162" s="324"/>
      <c r="G162" s="325">
        <f t="shared" si="2"/>
        <v>0</v>
      </c>
      <c r="H162" s="269"/>
    </row>
    <row r="163" spans="1:8" ht="17.25" x14ac:dyDescent="0.3">
      <c r="A163" s="179"/>
      <c r="B163" s="321" t="s">
        <v>2210</v>
      </c>
      <c r="C163" s="222" t="s">
        <v>541</v>
      </c>
      <c r="D163" s="54">
        <v>15250</v>
      </c>
      <c r="E163" s="54">
        <v>15250</v>
      </c>
      <c r="F163" s="324"/>
      <c r="G163" s="325">
        <f t="shared" si="2"/>
        <v>0</v>
      </c>
      <c r="H163" s="269"/>
    </row>
    <row r="164" spans="1:8" ht="17.25" x14ac:dyDescent="0.3">
      <c r="A164" s="179"/>
      <c r="B164" s="321">
        <v>157</v>
      </c>
      <c r="C164" s="222" t="s">
        <v>88</v>
      </c>
      <c r="D164" s="54">
        <v>15250</v>
      </c>
      <c r="E164" s="54">
        <v>15250</v>
      </c>
      <c r="F164" s="325"/>
      <c r="G164" s="325">
        <f t="shared" si="2"/>
        <v>0</v>
      </c>
      <c r="H164" s="269"/>
    </row>
    <row r="165" spans="1:8" ht="17.25" x14ac:dyDescent="0.3">
      <c r="A165" s="179"/>
      <c r="B165" s="321">
        <v>158</v>
      </c>
      <c r="C165" s="222" t="s">
        <v>509</v>
      </c>
      <c r="D165" s="54">
        <v>15250</v>
      </c>
      <c r="E165" s="54">
        <v>15250</v>
      </c>
      <c r="F165" s="324"/>
      <c r="G165" s="325">
        <f t="shared" si="2"/>
        <v>0</v>
      </c>
      <c r="H165" s="269"/>
    </row>
    <row r="166" spans="1:8" ht="17.25" x14ac:dyDescent="0.3">
      <c r="A166" s="179" t="s">
        <v>1498</v>
      </c>
      <c r="B166" s="321" t="s">
        <v>1545</v>
      </c>
      <c r="C166" s="222" t="s">
        <v>538</v>
      </c>
      <c r="D166" s="54">
        <v>15250</v>
      </c>
      <c r="E166" s="323">
        <f>5625+7125</f>
        <v>12750</v>
      </c>
      <c r="F166" s="324"/>
      <c r="G166" s="325">
        <f t="shared" si="2"/>
        <v>2500</v>
      </c>
      <c r="H166" s="269"/>
    </row>
    <row r="167" spans="1:8" ht="17.25" x14ac:dyDescent="0.3">
      <c r="A167" s="179" t="s">
        <v>1592</v>
      </c>
      <c r="B167" s="321" t="s">
        <v>1673</v>
      </c>
      <c r="C167" s="222" t="s">
        <v>551</v>
      </c>
      <c r="D167" s="54">
        <v>9250</v>
      </c>
      <c r="E167" s="54">
        <v>9250</v>
      </c>
      <c r="F167" s="324"/>
      <c r="G167" s="325">
        <f t="shared" si="2"/>
        <v>0</v>
      </c>
      <c r="H167" s="269"/>
    </row>
    <row r="168" spans="1:8" ht="17.25" x14ac:dyDescent="0.3">
      <c r="A168" s="179"/>
      <c r="B168" s="321">
        <v>161</v>
      </c>
      <c r="C168" s="222" t="s">
        <v>556</v>
      </c>
      <c r="D168" s="54">
        <v>9250</v>
      </c>
      <c r="E168" s="54">
        <v>9250</v>
      </c>
      <c r="F168" s="324"/>
      <c r="G168" s="325">
        <f t="shared" si="2"/>
        <v>0</v>
      </c>
      <c r="H168" s="269"/>
    </row>
    <row r="169" spans="1:8" ht="17.25" x14ac:dyDescent="0.3">
      <c r="A169" s="179" t="s">
        <v>1863</v>
      </c>
      <c r="B169" s="321" t="s">
        <v>1873</v>
      </c>
      <c r="C169" s="222" t="s">
        <v>557</v>
      </c>
      <c r="D169" s="54">
        <v>9250</v>
      </c>
      <c r="E169" s="54">
        <v>9250</v>
      </c>
      <c r="F169" s="324"/>
      <c r="G169" s="325">
        <f t="shared" si="2"/>
        <v>0</v>
      </c>
      <c r="H169" s="269"/>
    </row>
    <row r="170" spans="1:8" ht="17.25" x14ac:dyDescent="0.3">
      <c r="A170" s="179" t="s">
        <v>1863</v>
      </c>
      <c r="B170" s="321" t="s">
        <v>1873</v>
      </c>
      <c r="C170" s="222" t="s">
        <v>61</v>
      </c>
      <c r="D170" s="54">
        <v>9250</v>
      </c>
      <c r="E170" s="54">
        <v>9250</v>
      </c>
      <c r="F170" s="324"/>
      <c r="G170" s="325">
        <f t="shared" si="2"/>
        <v>0</v>
      </c>
      <c r="H170" s="269"/>
    </row>
    <row r="171" spans="1:8" ht="17.25" x14ac:dyDescent="0.3">
      <c r="A171" s="179"/>
      <c r="B171" s="321">
        <v>164</v>
      </c>
      <c r="C171" s="222" t="s">
        <v>548</v>
      </c>
      <c r="D171" s="54">
        <v>9250</v>
      </c>
      <c r="E171" s="54">
        <v>9250</v>
      </c>
      <c r="F171" s="324"/>
      <c r="G171" s="325">
        <f t="shared" si="2"/>
        <v>0</v>
      </c>
      <c r="H171" s="269"/>
    </row>
    <row r="172" spans="1:8" ht="17.25" x14ac:dyDescent="0.3">
      <c r="A172" s="179" t="s">
        <v>1863</v>
      </c>
      <c r="B172" s="321" t="s">
        <v>1873</v>
      </c>
      <c r="C172" s="222" t="s">
        <v>546</v>
      </c>
      <c r="D172" s="54">
        <v>9250</v>
      </c>
      <c r="E172" s="54">
        <v>9250</v>
      </c>
      <c r="F172" s="324"/>
      <c r="G172" s="325">
        <f t="shared" si="2"/>
        <v>0</v>
      </c>
      <c r="H172" s="269"/>
    </row>
    <row r="173" spans="1:8" ht="17.25" x14ac:dyDescent="0.3">
      <c r="A173" s="179" t="s">
        <v>1870</v>
      </c>
      <c r="B173" s="321" t="s">
        <v>1869</v>
      </c>
      <c r="C173" s="222" t="s">
        <v>555</v>
      </c>
      <c r="D173" s="54">
        <v>9250</v>
      </c>
      <c r="E173" s="54">
        <v>9250</v>
      </c>
      <c r="F173" s="324"/>
      <c r="G173" s="325">
        <f t="shared" si="2"/>
        <v>0</v>
      </c>
      <c r="H173" s="269"/>
    </row>
    <row r="174" spans="1:8" ht="17.25" x14ac:dyDescent="0.3">
      <c r="A174" s="179" t="s">
        <v>1866</v>
      </c>
      <c r="B174" s="321" t="s">
        <v>1867</v>
      </c>
      <c r="C174" s="222" t="s">
        <v>31</v>
      </c>
      <c r="D174" s="54">
        <v>9250</v>
      </c>
      <c r="E174" s="54">
        <v>9250</v>
      </c>
      <c r="F174" s="324"/>
      <c r="G174" s="325">
        <f t="shared" si="2"/>
        <v>0</v>
      </c>
      <c r="H174" s="269"/>
    </row>
    <row r="175" spans="1:8" ht="17.25" x14ac:dyDescent="0.3">
      <c r="A175" s="179" t="s">
        <v>1592</v>
      </c>
      <c r="B175" s="321" t="s">
        <v>1673</v>
      </c>
      <c r="C175" s="222" t="s">
        <v>64</v>
      </c>
      <c r="D175" s="54">
        <v>9250</v>
      </c>
      <c r="E175" s="54">
        <v>9250</v>
      </c>
      <c r="F175" s="324"/>
      <c r="G175" s="325">
        <f t="shared" si="2"/>
        <v>0</v>
      </c>
      <c r="H175" s="269"/>
    </row>
    <row r="176" spans="1:8" ht="17.25" x14ac:dyDescent="0.3">
      <c r="A176" s="179" t="s">
        <v>1693</v>
      </c>
      <c r="B176" s="321" t="s">
        <v>1711</v>
      </c>
      <c r="C176" s="222" t="s">
        <v>103</v>
      </c>
      <c r="D176" s="54">
        <v>9250</v>
      </c>
      <c r="E176" s="54">
        <v>9250</v>
      </c>
      <c r="F176" s="324"/>
      <c r="G176" s="325">
        <f t="shared" si="2"/>
        <v>0</v>
      </c>
      <c r="H176" s="269"/>
    </row>
    <row r="177" spans="1:8" ht="17.25" x14ac:dyDescent="0.3">
      <c r="A177" s="179" t="s">
        <v>1693</v>
      </c>
      <c r="B177" s="321" t="s">
        <v>1711</v>
      </c>
      <c r="C177" s="222" t="s">
        <v>552</v>
      </c>
      <c r="D177" s="54">
        <v>9250</v>
      </c>
      <c r="E177" s="54">
        <v>9250</v>
      </c>
      <c r="F177" s="324"/>
      <c r="G177" s="325">
        <f t="shared" si="2"/>
        <v>0</v>
      </c>
      <c r="H177" s="269"/>
    </row>
    <row r="178" spans="1:8" ht="17.25" x14ac:dyDescent="0.3">
      <c r="A178" s="179"/>
      <c r="B178" s="321">
        <v>171</v>
      </c>
      <c r="C178" s="222" t="s">
        <v>75</v>
      </c>
      <c r="D178" s="54">
        <v>9250</v>
      </c>
      <c r="E178" s="54">
        <v>9250</v>
      </c>
      <c r="F178" s="324"/>
      <c r="G178" s="325">
        <f t="shared" si="2"/>
        <v>0</v>
      </c>
      <c r="H178" s="269"/>
    </row>
    <row r="179" spans="1:8" ht="17.25" x14ac:dyDescent="0.3">
      <c r="A179" s="179" t="s">
        <v>1693</v>
      </c>
      <c r="B179" s="321" t="s">
        <v>1711</v>
      </c>
      <c r="C179" s="222" t="s">
        <v>76</v>
      </c>
      <c r="D179" s="54">
        <v>9250</v>
      </c>
      <c r="E179" s="54">
        <v>9250</v>
      </c>
      <c r="F179" s="324"/>
      <c r="G179" s="325">
        <f t="shared" si="2"/>
        <v>0</v>
      </c>
      <c r="H179" s="269"/>
    </row>
    <row r="180" spans="1:8" ht="17.25" x14ac:dyDescent="0.3">
      <c r="A180" s="179" t="s">
        <v>1863</v>
      </c>
      <c r="B180" s="321" t="s">
        <v>1873</v>
      </c>
      <c r="C180" s="222" t="s">
        <v>62</v>
      </c>
      <c r="D180" s="54">
        <v>9250</v>
      </c>
      <c r="E180" s="54">
        <v>9250</v>
      </c>
      <c r="F180" s="324"/>
      <c r="G180" s="325">
        <f t="shared" si="2"/>
        <v>0</v>
      </c>
      <c r="H180" s="269"/>
    </row>
    <row r="181" spans="1:8" ht="17.25" x14ac:dyDescent="0.3">
      <c r="A181" s="179"/>
      <c r="B181" s="321">
        <v>174</v>
      </c>
      <c r="C181" s="222" t="s">
        <v>544</v>
      </c>
      <c r="D181" s="54">
        <v>9250</v>
      </c>
      <c r="E181" s="54">
        <v>9250</v>
      </c>
      <c r="F181" s="324"/>
      <c r="G181" s="325">
        <f t="shared" si="2"/>
        <v>0</v>
      </c>
      <c r="H181" s="269"/>
    </row>
    <row r="182" spans="1:8" ht="17.25" x14ac:dyDescent="0.3">
      <c r="A182" s="179"/>
      <c r="B182" s="321">
        <v>175</v>
      </c>
      <c r="C182" s="222" t="s">
        <v>545</v>
      </c>
      <c r="D182" s="54">
        <v>9250</v>
      </c>
      <c r="E182" s="54">
        <v>9250</v>
      </c>
      <c r="F182" s="324"/>
      <c r="G182" s="325">
        <f t="shared" si="2"/>
        <v>0</v>
      </c>
      <c r="H182" s="269"/>
    </row>
    <row r="183" spans="1:8" ht="17.25" x14ac:dyDescent="0.3">
      <c r="A183" s="179" t="s">
        <v>1863</v>
      </c>
      <c r="B183" s="321" t="s">
        <v>1873</v>
      </c>
      <c r="C183" s="222" t="s">
        <v>558</v>
      </c>
      <c r="D183" s="54">
        <v>9250</v>
      </c>
      <c r="E183" s="54">
        <v>9250</v>
      </c>
      <c r="F183" s="324"/>
      <c r="G183" s="325">
        <f t="shared" si="2"/>
        <v>0</v>
      </c>
      <c r="H183" s="269"/>
    </row>
    <row r="184" spans="1:8" ht="17.25" x14ac:dyDescent="0.3">
      <c r="A184" s="179"/>
      <c r="B184" s="321" t="s">
        <v>2036</v>
      </c>
      <c r="C184" s="222" t="s">
        <v>543</v>
      </c>
      <c r="D184" s="54">
        <v>9250</v>
      </c>
      <c r="E184" s="54">
        <v>9250</v>
      </c>
      <c r="F184" s="324"/>
      <c r="G184" s="325">
        <f t="shared" si="2"/>
        <v>0</v>
      </c>
      <c r="H184" s="269"/>
    </row>
    <row r="185" spans="1:8" ht="17.25" x14ac:dyDescent="0.3">
      <c r="A185" s="179" t="s">
        <v>1863</v>
      </c>
      <c r="B185" s="321" t="s">
        <v>1873</v>
      </c>
      <c r="C185" s="222" t="s">
        <v>74</v>
      </c>
      <c r="D185" s="54">
        <v>9250</v>
      </c>
      <c r="E185" s="54">
        <v>9250</v>
      </c>
      <c r="F185" s="324"/>
      <c r="G185" s="325">
        <f t="shared" si="2"/>
        <v>0</v>
      </c>
      <c r="H185" s="269"/>
    </row>
    <row r="186" spans="1:8" ht="17.25" x14ac:dyDescent="0.3">
      <c r="A186" s="179"/>
      <c r="B186" s="321">
        <v>179</v>
      </c>
      <c r="C186" s="222" t="s">
        <v>101</v>
      </c>
      <c r="D186" s="54">
        <v>9250</v>
      </c>
      <c r="E186" s="54">
        <v>9250</v>
      </c>
      <c r="F186" s="324"/>
      <c r="G186" s="325">
        <f t="shared" si="2"/>
        <v>0</v>
      </c>
      <c r="H186" s="269"/>
    </row>
    <row r="187" spans="1:8" ht="17.25" x14ac:dyDescent="0.3">
      <c r="A187" s="179"/>
      <c r="B187" s="321">
        <v>180</v>
      </c>
      <c r="C187" s="222" t="s">
        <v>560</v>
      </c>
      <c r="D187" s="54">
        <v>9250</v>
      </c>
      <c r="E187" s="54">
        <v>9250</v>
      </c>
      <c r="F187" s="324"/>
      <c r="G187" s="325">
        <f t="shared" si="2"/>
        <v>0</v>
      </c>
      <c r="H187" s="269"/>
    </row>
    <row r="188" spans="1:8" ht="17.25" x14ac:dyDescent="0.3">
      <c r="A188" s="179"/>
      <c r="B188" s="321">
        <v>181</v>
      </c>
      <c r="C188" s="222" t="s">
        <v>559</v>
      </c>
      <c r="D188" s="54">
        <v>9250</v>
      </c>
      <c r="E188" s="54">
        <v>9250</v>
      </c>
      <c r="F188" s="324"/>
      <c r="G188" s="325">
        <f t="shared" si="2"/>
        <v>0</v>
      </c>
      <c r="H188" s="269"/>
    </row>
    <row r="189" spans="1:8" ht="17.25" x14ac:dyDescent="0.3">
      <c r="A189" s="179" t="s">
        <v>1866</v>
      </c>
      <c r="B189" s="321" t="s">
        <v>1867</v>
      </c>
      <c r="C189" s="222" t="s">
        <v>72</v>
      </c>
      <c r="D189" s="54">
        <v>9250</v>
      </c>
      <c r="E189" s="54">
        <v>9250</v>
      </c>
      <c r="F189" s="324"/>
      <c r="G189" s="325">
        <f t="shared" si="2"/>
        <v>0</v>
      </c>
      <c r="H189" s="269"/>
    </row>
    <row r="190" spans="1:8" ht="17.25" x14ac:dyDescent="0.3">
      <c r="A190" s="179" t="s">
        <v>1866</v>
      </c>
      <c r="B190" s="321" t="s">
        <v>1867</v>
      </c>
      <c r="C190" s="222" t="s">
        <v>73</v>
      </c>
      <c r="D190" s="54">
        <v>9250</v>
      </c>
      <c r="E190" s="54">
        <v>9250</v>
      </c>
      <c r="F190" s="324"/>
      <c r="G190" s="325">
        <f t="shared" si="2"/>
        <v>0</v>
      </c>
      <c r="H190" s="269"/>
    </row>
    <row r="191" spans="1:8" ht="17.25" x14ac:dyDescent="0.3">
      <c r="A191" s="179" t="s">
        <v>1606</v>
      </c>
      <c r="B191" s="321" t="s">
        <v>1674</v>
      </c>
      <c r="C191" s="222" t="s">
        <v>79</v>
      </c>
      <c r="D191" s="54">
        <v>9250</v>
      </c>
      <c r="E191" s="54">
        <f>4125+4125</f>
        <v>8250</v>
      </c>
      <c r="F191" s="324"/>
      <c r="G191" s="325">
        <f t="shared" si="2"/>
        <v>1000</v>
      </c>
      <c r="H191" s="269"/>
    </row>
    <row r="192" spans="1:8" ht="17.25" x14ac:dyDescent="0.3">
      <c r="A192" s="179"/>
      <c r="B192" s="321" t="s">
        <v>2038</v>
      </c>
      <c r="C192" s="222" t="s">
        <v>553</v>
      </c>
      <c r="D192" s="54">
        <v>9250</v>
      </c>
      <c r="E192" s="54">
        <v>9250</v>
      </c>
      <c r="F192" s="324"/>
      <c r="G192" s="325">
        <f t="shared" si="2"/>
        <v>0</v>
      </c>
      <c r="H192" s="269"/>
    </row>
    <row r="193" spans="1:8" ht="17.25" x14ac:dyDescent="0.3">
      <c r="A193" s="179" t="s">
        <v>2517</v>
      </c>
      <c r="B193" s="321">
        <v>186</v>
      </c>
      <c r="C193" s="222" t="s">
        <v>77</v>
      </c>
      <c r="D193" s="54">
        <v>9250</v>
      </c>
      <c r="E193" s="323">
        <v>6250</v>
      </c>
      <c r="F193" s="325"/>
      <c r="G193" s="324">
        <f t="shared" si="2"/>
        <v>3000</v>
      </c>
      <c r="H193" s="269"/>
    </row>
    <row r="194" spans="1:8" ht="17.25" x14ac:dyDescent="0.3">
      <c r="A194" s="179" t="s">
        <v>1866</v>
      </c>
      <c r="B194" s="321" t="s">
        <v>1869</v>
      </c>
      <c r="C194" s="222" t="s">
        <v>78</v>
      </c>
      <c r="D194" s="54">
        <v>9250</v>
      </c>
      <c r="E194" s="54">
        <v>9250</v>
      </c>
      <c r="F194" s="324"/>
      <c r="G194" s="325">
        <f t="shared" si="2"/>
        <v>0</v>
      </c>
      <c r="H194" s="269"/>
    </row>
    <row r="195" spans="1:8" ht="17.25" x14ac:dyDescent="0.3">
      <c r="A195" s="179" t="s">
        <v>1863</v>
      </c>
      <c r="B195" s="321" t="s">
        <v>1869</v>
      </c>
      <c r="C195" s="222" t="s">
        <v>550</v>
      </c>
      <c r="D195" s="54">
        <v>15250</v>
      </c>
      <c r="E195" s="54">
        <v>9250</v>
      </c>
      <c r="F195" s="324"/>
      <c r="G195" s="325">
        <f t="shared" si="2"/>
        <v>6000</v>
      </c>
      <c r="H195" s="269" t="s">
        <v>1874</v>
      </c>
    </row>
    <row r="196" spans="1:8" ht="17.25" x14ac:dyDescent="0.3">
      <c r="A196" s="179" t="s">
        <v>1863</v>
      </c>
      <c r="B196" s="321" t="s">
        <v>1873</v>
      </c>
      <c r="C196" s="222" t="s">
        <v>547</v>
      </c>
      <c r="D196" s="54">
        <v>15250</v>
      </c>
      <c r="E196" s="323">
        <f>7625+7625</f>
        <v>15250</v>
      </c>
      <c r="F196" s="324"/>
      <c r="G196" s="325">
        <f t="shared" si="2"/>
        <v>0</v>
      </c>
      <c r="H196" s="269"/>
    </row>
    <row r="197" spans="1:8" ht="17.25" x14ac:dyDescent="0.3">
      <c r="A197" s="179" t="s">
        <v>1693</v>
      </c>
      <c r="B197" s="321" t="s">
        <v>1711</v>
      </c>
      <c r="C197" s="222" t="s">
        <v>67</v>
      </c>
      <c r="D197" s="54">
        <v>15250</v>
      </c>
      <c r="E197" s="54">
        <v>15250</v>
      </c>
      <c r="F197" s="324"/>
      <c r="G197" s="325">
        <f t="shared" si="2"/>
        <v>0</v>
      </c>
      <c r="H197" s="269"/>
    </row>
    <row r="198" spans="1:8" ht="17.25" x14ac:dyDescent="0.3">
      <c r="A198" s="179"/>
      <c r="B198" s="321"/>
      <c r="C198" s="330"/>
      <c r="D198" s="331"/>
      <c r="E198" s="323"/>
      <c r="F198" s="324"/>
      <c r="G198" s="325">
        <f t="shared" si="2"/>
        <v>0</v>
      </c>
      <c r="H198" s="269"/>
    </row>
    <row r="199" spans="1:8" ht="17.25" x14ac:dyDescent="0.3">
      <c r="A199" s="179"/>
      <c r="B199" s="321"/>
      <c r="C199" s="188" t="s">
        <v>1335</v>
      </c>
      <c r="D199" s="322">
        <v>27750</v>
      </c>
      <c r="E199" s="323"/>
      <c r="F199" s="324"/>
      <c r="G199" s="325">
        <f>D199</f>
        <v>27750</v>
      </c>
      <c r="H199" s="269"/>
    </row>
    <row r="200" spans="1:8" ht="17.25" x14ac:dyDescent="0.3">
      <c r="A200" s="179"/>
      <c r="B200" s="321"/>
      <c r="C200" s="187"/>
      <c r="D200" s="197">
        <v>-45250</v>
      </c>
      <c r="E200" s="325"/>
      <c r="F200" s="328"/>
      <c r="G200" s="325">
        <f>D200</f>
        <v>-45250</v>
      </c>
      <c r="H200" s="269"/>
    </row>
    <row r="201" spans="1:8" ht="19.5" thickBot="1" x14ac:dyDescent="0.35">
      <c r="A201" s="108"/>
      <c r="B201" s="332"/>
      <c r="C201" s="333" t="s">
        <v>107</v>
      </c>
      <c r="D201" s="196">
        <f>SUM(D8:D200)</f>
        <v>1860000</v>
      </c>
      <c r="E201" s="334">
        <f>SUM(E7:E200)</f>
        <v>1860000</v>
      </c>
      <c r="F201" s="335">
        <f>SUM(F7:F200)</f>
        <v>0</v>
      </c>
      <c r="G201" s="443">
        <f>D201-E201-F201</f>
        <v>0</v>
      </c>
      <c r="H201" s="75"/>
    </row>
    <row r="202" spans="1:8" ht="19.5" thickTop="1" x14ac:dyDescent="0.3">
      <c r="D202" s="137"/>
      <c r="F202" s="306"/>
      <c r="G202" s="263"/>
    </row>
    <row r="203" spans="1:8" x14ac:dyDescent="0.3">
      <c r="D203" s="137"/>
      <c r="E203" s="272"/>
      <c r="F203" s="173"/>
      <c r="G203" s="8"/>
    </row>
    <row r="204" spans="1:8" x14ac:dyDescent="0.3">
      <c r="D204" s="137"/>
      <c r="E204" s="272"/>
      <c r="G204" s="8"/>
    </row>
    <row r="205" spans="1:8" x14ac:dyDescent="0.3">
      <c r="C205" s="50"/>
      <c r="E205" s="272"/>
      <c r="G205" s="50"/>
    </row>
    <row r="206" spans="1:8" x14ac:dyDescent="0.3">
      <c r="C206" s="50"/>
      <c r="G206" s="50"/>
    </row>
    <row r="207" spans="1:8" x14ac:dyDescent="0.3">
      <c r="E207" s="273"/>
      <c r="F207" s="245"/>
      <c r="G207" s="50"/>
    </row>
    <row r="208" spans="1:8" x14ac:dyDescent="0.3">
      <c r="B208" s="138"/>
      <c r="C208" s="59"/>
      <c r="D208" s="171"/>
      <c r="E208" s="274"/>
      <c r="G208" s="264"/>
    </row>
    <row r="209" spans="2:7" x14ac:dyDescent="0.3">
      <c r="B209" s="138"/>
      <c r="C209" s="4"/>
      <c r="D209" s="140"/>
      <c r="E209" s="273"/>
    </row>
    <row r="210" spans="2:7" x14ac:dyDescent="0.3">
      <c r="B210" s="138"/>
      <c r="C210" s="4"/>
      <c r="D210" s="140"/>
      <c r="E210" s="273"/>
      <c r="G210" s="8"/>
    </row>
    <row r="211" spans="2:7" x14ac:dyDescent="0.3">
      <c r="B211" s="138"/>
      <c r="C211" s="4"/>
      <c r="D211" s="140"/>
      <c r="E211" s="273"/>
      <c r="G211" s="8"/>
    </row>
    <row r="212" spans="2:7" x14ac:dyDescent="0.3">
      <c r="B212" s="138"/>
      <c r="C212" s="4"/>
      <c r="D212" s="174"/>
      <c r="E212" s="275"/>
    </row>
    <row r="213" spans="2:7" x14ac:dyDescent="0.3">
      <c r="B213" s="138"/>
      <c r="C213" s="4"/>
      <c r="D213" s="138"/>
      <c r="E213" s="273"/>
    </row>
    <row r="214" spans="2:7" x14ac:dyDescent="0.3">
      <c r="B214" s="138"/>
      <c r="C214" s="4"/>
      <c r="D214" s="138"/>
      <c r="E214" s="275"/>
    </row>
  </sheetData>
  <mergeCells count="2">
    <mergeCell ref="A2:H2"/>
    <mergeCell ref="A3:H3"/>
  </mergeCells>
  <pageMargins left="0.27" right="0.15" top="0.15748031496062992" bottom="0.15748031496062992" header="0.15748031496062992" footer="0.15748031496062992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1"/>
  <sheetViews>
    <sheetView workbookViewId="0">
      <selection activeCell="G3" sqref="G3"/>
    </sheetView>
  </sheetViews>
  <sheetFormatPr defaultRowHeight="17.25" x14ac:dyDescent="0.3"/>
  <cols>
    <col min="1" max="1" width="8.140625" style="23" customWidth="1"/>
    <col min="2" max="2" width="7.85546875" style="78" bestFit="1" customWidth="1"/>
    <col min="3" max="3" width="24.7109375" style="78" customWidth="1"/>
    <col min="4" max="4" width="10.7109375" style="78" customWidth="1"/>
    <col min="5" max="5" width="11.140625" style="78" customWidth="1"/>
    <col min="6" max="6" width="8" style="78" customWidth="1"/>
    <col min="7" max="7" width="11.140625" style="132" customWidth="1"/>
    <col min="8" max="8" width="15.7109375" style="78" customWidth="1"/>
    <col min="9" max="16384" width="9.140625" style="78"/>
  </cols>
  <sheetData>
    <row r="1" spans="1:8" x14ac:dyDescent="0.3">
      <c r="A1" s="453" t="s">
        <v>209</v>
      </c>
      <c r="B1" s="453"/>
      <c r="C1" s="453"/>
      <c r="D1" s="453"/>
      <c r="E1" s="453"/>
      <c r="F1" s="453"/>
      <c r="G1" s="453"/>
      <c r="H1" s="453"/>
    </row>
    <row r="2" spans="1:8" x14ac:dyDescent="0.3">
      <c r="A2" s="453" t="s">
        <v>2736</v>
      </c>
      <c r="B2" s="453"/>
      <c r="C2" s="453"/>
      <c r="D2" s="453"/>
      <c r="E2" s="453"/>
      <c r="F2" s="453"/>
      <c r="G2" s="453"/>
      <c r="H2" s="453"/>
    </row>
    <row r="3" spans="1:8" ht="18.75" x14ac:dyDescent="0.3">
      <c r="A3" s="101" t="s">
        <v>127</v>
      </c>
      <c r="B3" s="77"/>
      <c r="C3" s="77"/>
      <c r="D3" s="77"/>
      <c r="E3" s="152"/>
      <c r="F3" s="77" t="s">
        <v>426</v>
      </c>
      <c r="G3" s="241" t="s">
        <v>5</v>
      </c>
      <c r="H3" s="226" t="s">
        <v>425</v>
      </c>
    </row>
    <row r="4" spans="1:8" x14ac:dyDescent="0.3">
      <c r="A4" s="178" t="s">
        <v>16</v>
      </c>
      <c r="B4" s="156" t="s">
        <v>12</v>
      </c>
      <c r="C4" s="81" t="s">
        <v>4</v>
      </c>
      <c r="D4" s="82" t="s">
        <v>15</v>
      </c>
      <c r="E4" s="82" t="s">
        <v>1</v>
      </c>
      <c r="F4" s="82" t="s">
        <v>34</v>
      </c>
      <c r="G4" s="242" t="s">
        <v>2</v>
      </c>
      <c r="H4" s="81" t="s">
        <v>3</v>
      </c>
    </row>
    <row r="5" spans="1:8" x14ac:dyDescent="0.3">
      <c r="A5" s="105"/>
      <c r="B5" s="84"/>
      <c r="C5" s="85"/>
      <c r="D5" s="86" t="s">
        <v>0</v>
      </c>
      <c r="E5" s="86"/>
      <c r="F5" s="86" t="s">
        <v>35</v>
      </c>
      <c r="G5" s="243"/>
      <c r="H5" s="158"/>
    </row>
    <row r="6" spans="1:8" x14ac:dyDescent="0.3">
      <c r="A6" s="179" t="s">
        <v>427</v>
      </c>
      <c r="B6" s="90" t="s">
        <v>203</v>
      </c>
      <c r="C6" s="49" t="s">
        <v>428</v>
      </c>
      <c r="D6" s="93">
        <v>2271000</v>
      </c>
      <c r="E6" s="93"/>
      <c r="F6" s="93"/>
      <c r="G6" s="149">
        <f>D6</f>
        <v>2271000</v>
      </c>
      <c r="H6" s="75" t="s">
        <v>131</v>
      </c>
    </row>
    <row r="7" spans="1:8" x14ac:dyDescent="0.3">
      <c r="A7" s="179"/>
      <c r="B7" s="90"/>
      <c r="C7" s="49"/>
      <c r="D7" s="93"/>
      <c r="E7" s="93"/>
      <c r="F7" s="93"/>
      <c r="G7" s="149"/>
      <c r="H7" s="94"/>
    </row>
    <row r="8" spans="1:8" x14ac:dyDescent="0.3">
      <c r="A8" s="179"/>
      <c r="B8" s="90"/>
      <c r="C8" s="49" t="s">
        <v>429</v>
      </c>
      <c r="D8" s="93">
        <v>45000</v>
      </c>
      <c r="E8" s="93"/>
      <c r="F8" s="93"/>
      <c r="G8" s="149">
        <f>D8</f>
        <v>45000</v>
      </c>
      <c r="H8" s="94"/>
    </row>
    <row r="9" spans="1:8" x14ac:dyDescent="0.3">
      <c r="A9" s="95" t="s">
        <v>793</v>
      </c>
      <c r="B9" s="97" t="s">
        <v>808</v>
      </c>
      <c r="C9" s="49" t="s">
        <v>807</v>
      </c>
      <c r="D9" s="93"/>
      <c r="E9" s="93">
        <v>4708</v>
      </c>
      <c r="F9" s="91"/>
      <c r="G9" s="211">
        <f>G8-E9</f>
        <v>40292</v>
      </c>
      <c r="H9" s="75" t="s">
        <v>898</v>
      </c>
    </row>
    <row r="10" spans="1:8" x14ac:dyDescent="0.3">
      <c r="A10" s="95" t="s">
        <v>1019</v>
      </c>
      <c r="B10" s="97" t="s">
        <v>1020</v>
      </c>
      <c r="C10" s="49" t="s">
        <v>1021</v>
      </c>
      <c r="D10" s="93"/>
      <c r="E10" s="93">
        <v>4708</v>
      </c>
      <c r="F10" s="91"/>
      <c r="G10" s="211">
        <f t="shared" ref="G10:G14" si="0">G9-E10</f>
        <v>35584</v>
      </c>
      <c r="H10" s="75"/>
    </row>
    <row r="11" spans="1:8" x14ac:dyDescent="0.3">
      <c r="A11" s="95" t="s">
        <v>1158</v>
      </c>
      <c r="B11" s="97" t="s">
        <v>1211</v>
      </c>
      <c r="C11" s="49" t="s">
        <v>1210</v>
      </c>
      <c r="D11" s="93"/>
      <c r="E11" s="93">
        <v>4708</v>
      </c>
      <c r="F11" s="91"/>
      <c r="G11" s="211">
        <f t="shared" si="0"/>
        <v>30876</v>
      </c>
      <c r="H11" s="75"/>
    </row>
    <row r="12" spans="1:8" x14ac:dyDescent="0.3">
      <c r="A12" s="95" t="s">
        <v>1315</v>
      </c>
      <c r="B12" s="97" t="s">
        <v>1346</v>
      </c>
      <c r="C12" s="49" t="s">
        <v>1345</v>
      </c>
      <c r="D12" s="93"/>
      <c r="E12" s="93">
        <v>4708</v>
      </c>
      <c r="F12" s="91"/>
      <c r="G12" s="211">
        <f t="shared" si="0"/>
        <v>26168</v>
      </c>
      <c r="H12" s="75"/>
    </row>
    <row r="13" spans="1:8" x14ac:dyDescent="0.3">
      <c r="A13" s="95" t="s">
        <v>1485</v>
      </c>
      <c r="B13" s="97" t="s">
        <v>1515</v>
      </c>
      <c r="C13" s="49" t="s">
        <v>1516</v>
      </c>
      <c r="D13" s="93"/>
      <c r="E13" s="93">
        <v>4708</v>
      </c>
      <c r="F13" s="91"/>
      <c r="G13" s="211">
        <f t="shared" si="0"/>
        <v>21460</v>
      </c>
      <c r="H13" s="75"/>
    </row>
    <row r="14" spans="1:8" x14ac:dyDescent="0.3">
      <c r="A14" s="95" t="s">
        <v>1685</v>
      </c>
      <c r="B14" s="97" t="s">
        <v>1692</v>
      </c>
      <c r="C14" s="49" t="s">
        <v>1691</v>
      </c>
      <c r="D14" s="93"/>
      <c r="E14" s="93">
        <v>4708</v>
      </c>
      <c r="F14" s="91"/>
      <c r="G14" s="211">
        <f t="shared" si="0"/>
        <v>16752</v>
      </c>
      <c r="H14" s="75"/>
    </row>
    <row r="15" spans="1:8" x14ac:dyDescent="0.3">
      <c r="A15" s="95" t="s">
        <v>2067</v>
      </c>
      <c r="B15" s="97" t="s">
        <v>2075</v>
      </c>
      <c r="C15" s="49" t="s">
        <v>2072</v>
      </c>
      <c r="D15" s="93"/>
      <c r="E15" s="93">
        <v>4708</v>
      </c>
      <c r="F15" s="91"/>
      <c r="G15" s="149">
        <f>G14-E15-F15</f>
        <v>12044</v>
      </c>
      <c r="H15" s="75"/>
    </row>
    <row r="16" spans="1:8" x14ac:dyDescent="0.3">
      <c r="A16" s="95" t="s">
        <v>2394</v>
      </c>
      <c r="B16" s="97" t="s">
        <v>2415</v>
      </c>
      <c r="C16" s="49" t="s">
        <v>2073</v>
      </c>
      <c r="D16" s="93"/>
      <c r="E16" s="93">
        <v>4708</v>
      </c>
      <c r="F16" s="136"/>
      <c r="G16" s="149">
        <f t="shared" ref="G16:G17" si="1">G15-E16-F16</f>
        <v>7336</v>
      </c>
      <c r="H16" s="75"/>
    </row>
    <row r="17" spans="1:8" x14ac:dyDescent="0.3">
      <c r="A17" s="95" t="s">
        <v>2867</v>
      </c>
      <c r="B17" s="97" t="s">
        <v>2868</v>
      </c>
      <c r="C17" s="49" t="s">
        <v>2074</v>
      </c>
      <c r="D17" s="93"/>
      <c r="E17" s="93">
        <v>4708</v>
      </c>
      <c r="F17" s="136"/>
      <c r="G17" s="149">
        <f t="shared" si="1"/>
        <v>2628</v>
      </c>
      <c r="H17" s="75"/>
    </row>
    <row r="18" spans="1:8" x14ac:dyDescent="0.3">
      <c r="A18" s="95"/>
      <c r="B18" s="97"/>
      <c r="C18" s="49"/>
      <c r="D18" s="93"/>
      <c r="E18" s="93"/>
      <c r="F18" s="91"/>
      <c r="G18" s="149"/>
      <c r="H18" s="75"/>
    </row>
    <row r="19" spans="1:8" x14ac:dyDescent="0.3">
      <c r="A19" s="95"/>
      <c r="B19" s="97"/>
      <c r="C19" s="49"/>
      <c r="D19" s="93"/>
      <c r="E19" s="93"/>
      <c r="F19" s="91"/>
      <c r="G19" s="149"/>
      <c r="H19" s="75"/>
    </row>
    <row r="20" spans="1:8" ht="18.75" x14ac:dyDescent="0.3">
      <c r="A20" s="179" t="s">
        <v>1019</v>
      </c>
      <c r="B20" s="90" t="s">
        <v>1043</v>
      </c>
      <c r="C20" s="221" t="s">
        <v>430</v>
      </c>
      <c r="D20" s="91">
        <v>12000</v>
      </c>
      <c r="E20" s="91">
        <f>1926+1894.94+1926</f>
        <v>5746.9400000000005</v>
      </c>
      <c r="F20" s="91"/>
      <c r="G20" s="149">
        <f>D20-E20</f>
        <v>6253.0599999999995</v>
      </c>
      <c r="H20" s="222" t="s">
        <v>1260</v>
      </c>
    </row>
    <row r="21" spans="1:8" ht="18.75" x14ac:dyDescent="0.3">
      <c r="A21" s="179" t="s">
        <v>654</v>
      </c>
      <c r="B21" s="90" t="s">
        <v>797</v>
      </c>
      <c r="C21" s="221" t="s">
        <v>431</v>
      </c>
      <c r="D21" s="91">
        <v>9000</v>
      </c>
      <c r="E21" s="91">
        <f>1476.6+1476.6+1476.6+1476.6</f>
        <v>5906.4</v>
      </c>
      <c r="F21" s="91"/>
      <c r="G21" s="149">
        <f t="shared" ref="G21:G84" si="2">D21-E21</f>
        <v>3093.6000000000004</v>
      </c>
      <c r="H21" s="222" t="s">
        <v>1404</v>
      </c>
    </row>
    <row r="22" spans="1:8" ht="18.75" x14ac:dyDescent="0.3">
      <c r="A22" s="179" t="s">
        <v>650</v>
      </c>
      <c r="B22" s="90" t="s">
        <v>797</v>
      </c>
      <c r="C22" s="221" t="s">
        <v>432</v>
      </c>
      <c r="D22" s="91">
        <v>9000</v>
      </c>
      <c r="E22" s="91">
        <f>1498+1498+1498+1498</f>
        <v>5992</v>
      </c>
      <c r="F22" s="91"/>
      <c r="G22" s="149">
        <f t="shared" si="2"/>
        <v>3008</v>
      </c>
      <c r="H22" s="222" t="s">
        <v>1404</v>
      </c>
    </row>
    <row r="23" spans="1:8" ht="18.75" x14ac:dyDescent="0.3">
      <c r="A23" s="179"/>
      <c r="B23" s="90">
        <v>4</v>
      </c>
      <c r="C23" s="389" t="s">
        <v>433</v>
      </c>
      <c r="D23" s="390">
        <v>9000</v>
      </c>
      <c r="E23" s="390"/>
      <c r="F23" s="390"/>
      <c r="G23" s="391">
        <f t="shared" si="2"/>
        <v>9000</v>
      </c>
      <c r="H23" s="392" t="s">
        <v>561</v>
      </c>
    </row>
    <row r="24" spans="1:8" ht="18.75" x14ac:dyDescent="0.3">
      <c r="A24" s="179"/>
      <c r="B24" s="90">
        <v>5</v>
      </c>
      <c r="C24" s="389" t="s">
        <v>434</v>
      </c>
      <c r="D24" s="390">
        <v>9000</v>
      </c>
      <c r="E24" s="390"/>
      <c r="F24" s="390"/>
      <c r="G24" s="391">
        <f t="shared" si="2"/>
        <v>9000</v>
      </c>
      <c r="H24" s="392" t="s">
        <v>561</v>
      </c>
    </row>
    <row r="25" spans="1:8" ht="18.75" x14ac:dyDescent="0.3">
      <c r="A25" s="179" t="s">
        <v>650</v>
      </c>
      <c r="B25" s="90" t="s">
        <v>798</v>
      </c>
      <c r="C25" s="221" t="s">
        <v>84</v>
      </c>
      <c r="D25" s="91">
        <v>12000</v>
      </c>
      <c r="E25" s="91">
        <f>1369.6+1369.6+1369.6+1369.6</f>
        <v>5478.4</v>
      </c>
      <c r="F25" s="91"/>
      <c r="G25" s="149">
        <f t="shared" si="2"/>
        <v>6521.6</v>
      </c>
      <c r="H25" s="222" t="s">
        <v>1404</v>
      </c>
    </row>
    <row r="26" spans="1:8" ht="18.75" x14ac:dyDescent="0.3">
      <c r="A26" s="179" t="s">
        <v>650</v>
      </c>
      <c r="B26" s="90" t="s">
        <v>798</v>
      </c>
      <c r="C26" s="221" t="s">
        <v>30</v>
      </c>
      <c r="D26" s="91">
        <v>9000</v>
      </c>
      <c r="E26" s="91">
        <f>738.3+738.3+738.3+738.3</f>
        <v>2953.2</v>
      </c>
      <c r="F26" s="91"/>
      <c r="G26" s="149">
        <f t="shared" si="2"/>
        <v>6046.8</v>
      </c>
      <c r="H26" s="222" t="s">
        <v>1404</v>
      </c>
    </row>
    <row r="27" spans="1:8" ht="18.75" x14ac:dyDescent="0.3">
      <c r="A27" s="179" t="s">
        <v>650</v>
      </c>
      <c r="B27" s="90" t="s">
        <v>798</v>
      </c>
      <c r="C27" s="221" t="s">
        <v>435</v>
      </c>
      <c r="D27" s="91">
        <v>21000</v>
      </c>
      <c r="E27" s="91">
        <f>2568+2568+2568+2568</f>
        <v>10272</v>
      </c>
      <c r="F27" s="91"/>
      <c r="G27" s="149">
        <f t="shared" si="2"/>
        <v>10728</v>
      </c>
      <c r="H27" s="222" t="s">
        <v>1404</v>
      </c>
    </row>
    <row r="28" spans="1:8" ht="18.75" x14ac:dyDescent="0.3">
      <c r="A28" s="179" t="s">
        <v>650</v>
      </c>
      <c r="B28" s="90" t="s">
        <v>798</v>
      </c>
      <c r="C28" s="221" t="s">
        <v>48</v>
      </c>
      <c r="D28" s="91">
        <v>9000</v>
      </c>
      <c r="E28" s="91">
        <f>738.3+738.3+738.3+738.3</f>
        <v>2953.2</v>
      </c>
      <c r="F28" s="91"/>
      <c r="G28" s="149">
        <f t="shared" si="2"/>
        <v>6046.8</v>
      </c>
      <c r="H28" s="222" t="s">
        <v>1404</v>
      </c>
    </row>
    <row r="29" spans="1:8" ht="18.75" x14ac:dyDescent="0.3">
      <c r="A29" s="179" t="s">
        <v>1019</v>
      </c>
      <c r="B29" s="90" t="s">
        <v>1042</v>
      </c>
      <c r="C29" s="221" t="s">
        <v>436</v>
      </c>
      <c r="D29" s="91">
        <v>12000</v>
      </c>
      <c r="E29" s="91">
        <f>1808.3+1808.3+1808.3</f>
        <v>5424.9</v>
      </c>
      <c r="F29" s="91"/>
      <c r="G29" s="149">
        <f t="shared" si="2"/>
        <v>6575.1</v>
      </c>
      <c r="H29" s="222" t="s">
        <v>1405</v>
      </c>
    </row>
    <row r="30" spans="1:8" ht="18.75" x14ac:dyDescent="0.3">
      <c r="A30" s="179" t="s">
        <v>650</v>
      </c>
      <c r="B30" s="90" t="s">
        <v>797</v>
      </c>
      <c r="C30" s="221" t="s">
        <v>82</v>
      </c>
      <c r="D30" s="91">
        <v>9000</v>
      </c>
      <c r="E30" s="91">
        <f>1284+1284+1284+1284</f>
        <v>5136</v>
      </c>
      <c r="F30" s="91"/>
      <c r="G30" s="149">
        <f t="shared" si="2"/>
        <v>3864</v>
      </c>
      <c r="H30" s="222" t="s">
        <v>1259</v>
      </c>
    </row>
    <row r="31" spans="1:8" ht="18.75" x14ac:dyDescent="0.3">
      <c r="A31" s="179" t="s">
        <v>650</v>
      </c>
      <c r="B31" s="90" t="s">
        <v>797</v>
      </c>
      <c r="C31" s="221" t="s">
        <v>437</v>
      </c>
      <c r="D31" s="91">
        <v>9000</v>
      </c>
      <c r="E31" s="91">
        <f>1498+1498+1498+1498</f>
        <v>5992</v>
      </c>
      <c r="F31" s="91"/>
      <c r="G31" s="149">
        <f t="shared" si="2"/>
        <v>3008</v>
      </c>
      <c r="H31" s="222" t="s">
        <v>1136</v>
      </c>
    </row>
    <row r="32" spans="1:8" ht="18.75" x14ac:dyDescent="0.3">
      <c r="A32" s="179" t="s">
        <v>650</v>
      </c>
      <c r="B32" s="90" t="s">
        <v>798</v>
      </c>
      <c r="C32" s="221" t="s">
        <v>51</v>
      </c>
      <c r="D32" s="91">
        <v>9000</v>
      </c>
      <c r="E32" s="91">
        <f>1476.6+1476.6+1476.6+1476.6</f>
        <v>5906.4</v>
      </c>
      <c r="F32" s="91"/>
      <c r="G32" s="149">
        <f t="shared" si="2"/>
        <v>3093.6000000000004</v>
      </c>
      <c r="H32" s="222" t="s">
        <v>1404</v>
      </c>
    </row>
    <row r="33" spans="1:8" ht="18.75" x14ac:dyDescent="0.3">
      <c r="A33" s="179" t="s">
        <v>650</v>
      </c>
      <c r="B33" s="90" t="s">
        <v>798</v>
      </c>
      <c r="C33" s="221" t="s">
        <v>81</v>
      </c>
      <c r="D33" s="91">
        <v>9000</v>
      </c>
      <c r="E33" s="91">
        <f>1380.3+1380.3+1380.3+1380.3</f>
        <v>5521.2</v>
      </c>
      <c r="F33" s="91"/>
      <c r="G33" s="149">
        <f t="shared" si="2"/>
        <v>3478.8</v>
      </c>
      <c r="H33" s="222" t="s">
        <v>1404</v>
      </c>
    </row>
    <row r="34" spans="1:8" ht="18.75" x14ac:dyDescent="0.3">
      <c r="A34" s="179" t="s">
        <v>793</v>
      </c>
      <c r="B34" s="90" t="s">
        <v>812</v>
      </c>
      <c r="C34" s="221" t="s">
        <v>438</v>
      </c>
      <c r="D34" s="91">
        <v>12000</v>
      </c>
      <c r="E34" s="91">
        <f>1926+1926+1926+1926</f>
        <v>7704</v>
      </c>
      <c r="F34" s="91"/>
      <c r="G34" s="149">
        <f t="shared" si="2"/>
        <v>4296</v>
      </c>
      <c r="H34" s="222" t="s">
        <v>1404</v>
      </c>
    </row>
    <row r="35" spans="1:8" ht="18.75" x14ac:dyDescent="0.3">
      <c r="A35" s="179" t="s">
        <v>816</v>
      </c>
      <c r="B35" s="90" t="s">
        <v>812</v>
      </c>
      <c r="C35" s="221" t="s">
        <v>439</v>
      </c>
      <c r="D35" s="91">
        <v>30000</v>
      </c>
      <c r="E35" s="91">
        <f>3306.3+3306.3+3306.3+3306.3</f>
        <v>13225.2</v>
      </c>
      <c r="F35" s="91"/>
      <c r="G35" s="149">
        <f t="shared" si="2"/>
        <v>16774.8</v>
      </c>
      <c r="H35" s="222" t="s">
        <v>1404</v>
      </c>
    </row>
    <row r="36" spans="1:8" ht="18.75" x14ac:dyDescent="0.3">
      <c r="A36" s="179" t="s">
        <v>650</v>
      </c>
      <c r="B36" s="90" t="s">
        <v>798</v>
      </c>
      <c r="C36" s="221" t="s">
        <v>94</v>
      </c>
      <c r="D36" s="91">
        <v>9000</v>
      </c>
      <c r="E36" s="91">
        <f>631.3+631.3+631.3+631.3</f>
        <v>2525.1999999999998</v>
      </c>
      <c r="F36" s="91"/>
      <c r="G36" s="149">
        <f t="shared" si="2"/>
        <v>6474.8</v>
      </c>
      <c r="H36" s="222" t="s">
        <v>1404</v>
      </c>
    </row>
    <row r="37" spans="1:8" ht="18.75" x14ac:dyDescent="0.3">
      <c r="A37" s="179"/>
      <c r="B37" s="90">
        <v>18</v>
      </c>
      <c r="C37" s="389" t="s">
        <v>440</v>
      </c>
      <c r="D37" s="390">
        <v>12000</v>
      </c>
      <c r="E37" s="390"/>
      <c r="F37" s="390"/>
      <c r="G37" s="391">
        <f t="shared" si="2"/>
        <v>12000</v>
      </c>
      <c r="H37" s="392" t="s">
        <v>562</v>
      </c>
    </row>
    <row r="38" spans="1:8" ht="18.75" x14ac:dyDescent="0.3">
      <c r="A38" s="179" t="s">
        <v>650</v>
      </c>
      <c r="B38" s="90" t="s">
        <v>797</v>
      </c>
      <c r="C38" s="221" t="s">
        <v>441</v>
      </c>
      <c r="D38" s="91">
        <v>9000</v>
      </c>
      <c r="E38" s="91">
        <f>1498+1498+1498+1498</f>
        <v>5992</v>
      </c>
      <c r="F38" s="91"/>
      <c r="G38" s="149">
        <f t="shared" si="2"/>
        <v>3008</v>
      </c>
      <c r="H38" s="222" t="s">
        <v>1136</v>
      </c>
    </row>
    <row r="39" spans="1:8" ht="18.75" x14ac:dyDescent="0.3">
      <c r="A39" s="179"/>
      <c r="B39" s="90">
        <v>20</v>
      </c>
      <c r="C39" s="221" t="s">
        <v>442</v>
      </c>
      <c r="D39" s="91">
        <v>21000</v>
      </c>
      <c r="E39" s="91">
        <f>3381.2+3381.2+3381.2+3381.2</f>
        <v>13524.8</v>
      </c>
      <c r="F39" s="91"/>
      <c r="G39" s="149">
        <f t="shared" si="2"/>
        <v>7475.2000000000007</v>
      </c>
      <c r="H39" s="222" t="s">
        <v>1404</v>
      </c>
    </row>
    <row r="40" spans="1:8" ht="18.75" x14ac:dyDescent="0.3">
      <c r="A40" s="179" t="s">
        <v>851</v>
      </c>
      <c r="B40" s="90" t="s">
        <v>853</v>
      </c>
      <c r="C40" s="221" t="s">
        <v>443</v>
      </c>
      <c r="D40" s="91">
        <v>9000</v>
      </c>
      <c r="E40" s="91">
        <f>1498+1498+1498+1498</f>
        <v>5992</v>
      </c>
      <c r="F40" s="91"/>
      <c r="G40" s="149">
        <f t="shared" si="2"/>
        <v>3008</v>
      </c>
      <c r="H40" s="222" t="s">
        <v>1404</v>
      </c>
    </row>
    <row r="41" spans="1:8" ht="18.75" x14ac:dyDescent="0.3">
      <c r="A41" s="179" t="s">
        <v>650</v>
      </c>
      <c r="B41" s="90" t="s">
        <v>797</v>
      </c>
      <c r="C41" s="221" t="s">
        <v>444</v>
      </c>
      <c r="D41" s="91">
        <v>9000</v>
      </c>
      <c r="E41" s="91">
        <f>1476.6+1476.6+1476.6+1476.6</f>
        <v>5906.4</v>
      </c>
      <c r="F41" s="91"/>
      <c r="G41" s="149">
        <f t="shared" si="2"/>
        <v>3093.6000000000004</v>
      </c>
      <c r="H41" s="222" t="s">
        <v>1404</v>
      </c>
    </row>
    <row r="42" spans="1:8" ht="18.75" x14ac:dyDescent="0.3">
      <c r="A42" s="179" t="s">
        <v>650</v>
      </c>
      <c r="B42" s="90" t="s">
        <v>797</v>
      </c>
      <c r="C42" s="221" t="s">
        <v>445</v>
      </c>
      <c r="D42" s="91">
        <v>9000</v>
      </c>
      <c r="E42" s="91">
        <f>1284+1284+1284+1284</f>
        <v>5136</v>
      </c>
      <c r="F42" s="91"/>
      <c r="G42" s="149">
        <f t="shared" si="2"/>
        <v>3864</v>
      </c>
      <c r="H42" s="222" t="s">
        <v>1404</v>
      </c>
    </row>
    <row r="43" spans="1:8" ht="18.75" x14ac:dyDescent="0.3">
      <c r="A43" s="179" t="s">
        <v>650</v>
      </c>
      <c r="B43" s="90" t="s">
        <v>798</v>
      </c>
      <c r="C43" s="221" t="s">
        <v>446</v>
      </c>
      <c r="D43" s="91">
        <v>12000</v>
      </c>
      <c r="E43" s="91">
        <f>588.5+588.5+588.5+588.5</f>
        <v>2354</v>
      </c>
      <c r="F43" s="91"/>
      <c r="G43" s="149">
        <f t="shared" si="2"/>
        <v>9646</v>
      </c>
      <c r="H43" s="222" t="s">
        <v>1404</v>
      </c>
    </row>
    <row r="44" spans="1:8" ht="18.75" x14ac:dyDescent="0.3">
      <c r="A44" s="179" t="s">
        <v>650</v>
      </c>
      <c r="B44" s="90" t="s">
        <v>798</v>
      </c>
      <c r="C44" s="221" t="s">
        <v>95</v>
      </c>
      <c r="D44" s="91">
        <v>12000</v>
      </c>
      <c r="E44" s="91">
        <f>1476.6+1476.6+1476.6+1476.6</f>
        <v>5906.4</v>
      </c>
      <c r="F44" s="91"/>
      <c r="G44" s="149">
        <f t="shared" si="2"/>
        <v>6093.6</v>
      </c>
      <c r="H44" s="222" t="s">
        <v>1404</v>
      </c>
    </row>
    <row r="45" spans="1:8" ht="18.75" x14ac:dyDescent="0.3">
      <c r="A45" s="179" t="s">
        <v>650</v>
      </c>
      <c r="B45" s="90" t="s">
        <v>797</v>
      </c>
      <c r="C45" s="221" t="s">
        <v>49</v>
      </c>
      <c r="D45" s="91">
        <v>12000</v>
      </c>
      <c r="E45" s="91">
        <f>1893.9+1893.9+1893.9+1893.9</f>
        <v>7575.6</v>
      </c>
      <c r="F45" s="91"/>
      <c r="G45" s="149">
        <f t="shared" si="2"/>
        <v>4424.3999999999996</v>
      </c>
      <c r="H45" s="222" t="s">
        <v>1136</v>
      </c>
    </row>
    <row r="46" spans="1:8" ht="18.75" x14ac:dyDescent="0.3">
      <c r="A46" s="179" t="s">
        <v>650</v>
      </c>
      <c r="B46" s="90" t="s">
        <v>798</v>
      </c>
      <c r="C46" s="221" t="s">
        <v>447</v>
      </c>
      <c r="D46" s="91">
        <v>12000</v>
      </c>
      <c r="E46" s="91">
        <f>1915.3+1915.3+1915.3+1915.3</f>
        <v>7661.2</v>
      </c>
      <c r="F46" s="91"/>
      <c r="G46" s="149">
        <f t="shared" si="2"/>
        <v>4338.8</v>
      </c>
      <c r="H46" s="222" t="s">
        <v>1404</v>
      </c>
    </row>
    <row r="47" spans="1:8" ht="18.75" x14ac:dyDescent="0.3">
      <c r="A47" s="179" t="s">
        <v>650</v>
      </c>
      <c r="B47" s="90" t="s">
        <v>797</v>
      </c>
      <c r="C47" s="221" t="s">
        <v>448</v>
      </c>
      <c r="D47" s="91">
        <v>12000</v>
      </c>
      <c r="E47" s="91">
        <f>749+749+749+749</f>
        <v>2996</v>
      </c>
      <c r="F47" s="91"/>
      <c r="G47" s="149">
        <f t="shared" si="2"/>
        <v>9004</v>
      </c>
      <c r="H47" s="222" t="s">
        <v>1404</v>
      </c>
    </row>
    <row r="48" spans="1:8" ht="18.75" x14ac:dyDescent="0.3">
      <c r="A48" s="179" t="s">
        <v>650</v>
      </c>
      <c r="B48" s="90" t="s">
        <v>686</v>
      </c>
      <c r="C48" s="221" t="s">
        <v>85</v>
      </c>
      <c r="D48" s="91">
        <v>12000</v>
      </c>
      <c r="E48" s="91">
        <f>850.65+850.65+850.65+850.65</f>
        <v>3402.6</v>
      </c>
      <c r="F48" s="91"/>
      <c r="G48" s="149">
        <f t="shared" si="2"/>
        <v>8597.4</v>
      </c>
      <c r="H48" s="222" t="s">
        <v>1404</v>
      </c>
    </row>
    <row r="49" spans="1:8" ht="18.75" x14ac:dyDescent="0.3">
      <c r="A49" s="179" t="s">
        <v>650</v>
      </c>
      <c r="B49" s="90" t="s">
        <v>797</v>
      </c>
      <c r="C49" s="221" t="s">
        <v>449</v>
      </c>
      <c r="D49" s="91">
        <v>12000</v>
      </c>
      <c r="E49" s="91">
        <f>1893.9+1893.9+1893.9+1893.9</f>
        <v>7575.6</v>
      </c>
      <c r="F49" s="91"/>
      <c r="G49" s="149">
        <f t="shared" si="2"/>
        <v>4424.3999999999996</v>
      </c>
      <c r="H49" s="222" t="s">
        <v>1404</v>
      </c>
    </row>
    <row r="50" spans="1:8" ht="18.75" x14ac:dyDescent="0.3">
      <c r="A50" s="179" t="s">
        <v>650</v>
      </c>
      <c r="B50" s="90" t="s">
        <v>797</v>
      </c>
      <c r="C50" s="221" t="s">
        <v>69</v>
      </c>
      <c r="D50" s="91">
        <v>12000</v>
      </c>
      <c r="E50" s="91">
        <f>1498+1498+1498+1498</f>
        <v>5992</v>
      </c>
      <c r="F50" s="91"/>
      <c r="G50" s="149">
        <f t="shared" si="2"/>
        <v>6008</v>
      </c>
      <c r="H50" s="222" t="s">
        <v>1404</v>
      </c>
    </row>
    <row r="51" spans="1:8" ht="18.75" x14ac:dyDescent="0.3">
      <c r="A51" s="179" t="s">
        <v>793</v>
      </c>
      <c r="B51" s="90" t="s">
        <v>812</v>
      </c>
      <c r="C51" s="221" t="s">
        <v>450</v>
      </c>
      <c r="D51" s="91">
        <v>12000</v>
      </c>
      <c r="E51" s="91">
        <f>1926+1926+1926+1926</f>
        <v>7704</v>
      </c>
      <c r="F51" s="91"/>
      <c r="G51" s="149">
        <f t="shared" si="2"/>
        <v>4296</v>
      </c>
      <c r="H51" s="222" t="s">
        <v>1404</v>
      </c>
    </row>
    <row r="52" spans="1:8" ht="18.75" x14ac:dyDescent="0.3">
      <c r="A52" s="179" t="s">
        <v>793</v>
      </c>
      <c r="B52" s="90" t="s">
        <v>812</v>
      </c>
      <c r="C52" s="221" t="s">
        <v>451</v>
      </c>
      <c r="D52" s="91">
        <v>12000</v>
      </c>
      <c r="E52" s="91">
        <f>749+749+749+749</f>
        <v>2996</v>
      </c>
      <c r="F52" s="91"/>
      <c r="G52" s="149">
        <f t="shared" si="2"/>
        <v>9004</v>
      </c>
      <c r="H52" s="222" t="s">
        <v>1404</v>
      </c>
    </row>
    <row r="53" spans="1:8" ht="18.75" x14ac:dyDescent="0.3">
      <c r="A53" s="179" t="s">
        <v>650</v>
      </c>
      <c r="B53" s="90" t="s">
        <v>798</v>
      </c>
      <c r="C53" s="221" t="s">
        <v>452</v>
      </c>
      <c r="D53" s="91">
        <v>12000</v>
      </c>
      <c r="E53" s="91">
        <f>1957.03+1957.03+1957.03+1957.03</f>
        <v>7828.12</v>
      </c>
      <c r="F53" s="91"/>
      <c r="G53" s="149">
        <f t="shared" si="2"/>
        <v>4171.88</v>
      </c>
      <c r="H53" s="222" t="s">
        <v>1404</v>
      </c>
    </row>
    <row r="54" spans="1:8" ht="18.75" x14ac:dyDescent="0.3">
      <c r="A54" s="179" t="s">
        <v>650</v>
      </c>
      <c r="B54" s="90" t="s">
        <v>797</v>
      </c>
      <c r="C54" s="221" t="s">
        <v>70</v>
      </c>
      <c r="D54" s="91">
        <v>12000</v>
      </c>
      <c r="E54" s="91">
        <f>1926+1926+1926+1926</f>
        <v>7704</v>
      </c>
      <c r="F54" s="91"/>
      <c r="G54" s="149">
        <f t="shared" si="2"/>
        <v>4296</v>
      </c>
      <c r="H54" s="222" t="s">
        <v>1404</v>
      </c>
    </row>
    <row r="55" spans="1:8" ht="18.75" x14ac:dyDescent="0.3">
      <c r="A55" s="179" t="s">
        <v>1019</v>
      </c>
      <c r="B55" s="90" t="s">
        <v>1041</v>
      </c>
      <c r="C55" s="221" t="s">
        <v>453</v>
      </c>
      <c r="D55" s="91">
        <v>9000</v>
      </c>
      <c r="E55" s="91">
        <f>732.95+732.95+732.95+732.95</f>
        <v>2931.8</v>
      </c>
      <c r="F55" s="91"/>
      <c r="G55" s="149">
        <f t="shared" si="2"/>
        <v>6068.2</v>
      </c>
      <c r="H55" s="222" t="s">
        <v>1404</v>
      </c>
    </row>
    <row r="56" spans="1:8" ht="18.75" x14ac:dyDescent="0.3">
      <c r="A56" s="179" t="s">
        <v>650</v>
      </c>
      <c r="B56" s="90" t="s">
        <v>797</v>
      </c>
      <c r="C56" s="221" t="s">
        <v>47</v>
      </c>
      <c r="D56" s="91">
        <v>9000</v>
      </c>
      <c r="E56" s="91">
        <f>1498+1498+1498+1498</f>
        <v>5992</v>
      </c>
      <c r="F56" s="91"/>
      <c r="G56" s="149">
        <f t="shared" si="2"/>
        <v>3008</v>
      </c>
      <c r="H56" s="222" t="s">
        <v>1404</v>
      </c>
    </row>
    <row r="57" spans="1:8" ht="18.75" x14ac:dyDescent="0.3">
      <c r="A57" s="179" t="s">
        <v>650</v>
      </c>
      <c r="B57" s="90" t="s">
        <v>796</v>
      </c>
      <c r="C57" s="221" t="s">
        <v>454</v>
      </c>
      <c r="D57" s="91">
        <v>9000</v>
      </c>
      <c r="E57" s="91">
        <f>738.3+738.3+738.3+738.3</f>
        <v>2953.2</v>
      </c>
      <c r="F57" s="91"/>
      <c r="G57" s="149">
        <f t="shared" si="2"/>
        <v>6046.8</v>
      </c>
      <c r="H57" s="222" t="s">
        <v>1404</v>
      </c>
    </row>
    <row r="58" spans="1:8" ht="18.75" x14ac:dyDescent="0.3">
      <c r="A58" s="179" t="s">
        <v>1059</v>
      </c>
      <c r="B58" s="90" t="s">
        <v>796</v>
      </c>
      <c r="C58" s="221" t="s">
        <v>68</v>
      </c>
      <c r="D58" s="91">
        <v>30000</v>
      </c>
      <c r="E58" s="91">
        <f>749+749+749+749</f>
        <v>2996</v>
      </c>
      <c r="F58" s="91"/>
      <c r="G58" s="149">
        <f t="shared" si="2"/>
        <v>27004</v>
      </c>
      <c r="H58" s="222" t="s">
        <v>1405</v>
      </c>
    </row>
    <row r="59" spans="1:8" ht="18.75" x14ac:dyDescent="0.3">
      <c r="A59" s="179" t="s">
        <v>851</v>
      </c>
      <c r="B59" s="90" t="s">
        <v>854</v>
      </c>
      <c r="C59" s="221" t="s">
        <v>455</v>
      </c>
      <c r="D59" s="91">
        <v>12000</v>
      </c>
      <c r="E59" s="91">
        <f>1808.3+1808.3+1808.3+1808.3</f>
        <v>7233.2</v>
      </c>
      <c r="F59" s="91"/>
      <c r="G59" s="149">
        <f t="shared" si="2"/>
        <v>4766.8</v>
      </c>
      <c r="H59" s="222" t="s">
        <v>1405</v>
      </c>
    </row>
    <row r="60" spans="1:8" ht="18.75" x14ac:dyDescent="0.3">
      <c r="A60" s="179" t="s">
        <v>650</v>
      </c>
      <c r="B60" s="90" t="s">
        <v>798</v>
      </c>
      <c r="C60" s="221" t="s">
        <v>28</v>
      </c>
      <c r="D60" s="91">
        <v>9000</v>
      </c>
      <c r="E60" s="91">
        <f>1476.6+1476.6+1476.6+1476.6</f>
        <v>5906.4</v>
      </c>
      <c r="F60" s="91"/>
      <c r="G60" s="149">
        <f t="shared" si="2"/>
        <v>3093.6000000000004</v>
      </c>
      <c r="H60" s="222" t="s">
        <v>1405</v>
      </c>
    </row>
    <row r="61" spans="1:8" ht="18.75" x14ac:dyDescent="0.3">
      <c r="A61" s="179"/>
      <c r="B61" s="90">
        <v>42</v>
      </c>
      <c r="C61" s="221" t="s">
        <v>456</v>
      </c>
      <c r="D61" s="91">
        <v>9000</v>
      </c>
      <c r="E61" s="91">
        <f>738.3+738.3+738.3+738.3</f>
        <v>2953.2</v>
      </c>
      <c r="F61" s="91"/>
      <c r="G61" s="149">
        <f t="shared" si="2"/>
        <v>6046.8</v>
      </c>
      <c r="H61" s="222" t="s">
        <v>1405</v>
      </c>
    </row>
    <row r="62" spans="1:8" ht="18.75" x14ac:dyDescent="0.3">
      <c r="A62" s="179" t="s">
        <v>650</v>
      </c>
      <c r="B62" s="90" t="s">
        <v>796</v>
      </c>
      <c r="C62" s="221" t="s">
        <v>71</v>
      </c>
      <c r="D62" s="91">
        <v>12000</v>
      </c>
      <c r="E62" s="91">
        <f>2000+2000+2000+2000</f>
        <v>8000</v>
      </c>
      <c r="F62" s="91"/>
      <c r="G62" s="149">
        <f t="shared" si="2"/>
        <v>4000</v>
      </c>
      <c r="H62" s="222" t="s">
        <v>1259</v>
      </c>
    </row>
    <row r="63" spans="1:8" ht="18.75" x14ac:dyDescent="0.3">
      <c r="A63" s="179"/>
      <c r="B63" s="90">
        <v>44</v>
      </c>
      <c r="C63" s="389" t="s">
        <v>457</v>
      </c>
      <c r="D63" s="390">
        <v>9000</v>
      </c>
      <c r="E63" s="390"/>
      <c r="F63" s="390"/>
      <c r="G63" s="391">
        <f t="shared" si="2"/>
        <v>9000</v>
      </c>
      <c r="H63" s="393" t="s">
        <v>563</v>
      </c>
    </row>
    <row r="64" spans="1:8" ht="18.75" x14ac:dyDescent="0.3">
      <c r="A64" s="179" t="s">
        <v>650</v>
      </c>
      <c r="B64" s="90" t="s">
        <v>796</v>
      </c>
      <c r="C64" s="221" t="s">
        <v>458</v>
      </c>
      <c r="D64" s="91">
        <v>9000</v>
      </c>
      <c r="E64" s="91">
        <f>1498+1498+1498+1498</f>
        <v>5992</v>
      </c>
      <c r="F64" s="91"/>
      <c r="G64" s="149">
        <f t="shared" si="2"/>
        <v>3008</v>
      </c>
      <c r="H64" s="222" t="s">
        <v>1136</v>
      </c>
    </row>
    <row r="65" spans="1:8" ht="18.75" x14ac:dyDescent="0.3">
      <c r="A65" s="179" t="s">
        <v>650</v>
      </c>
      <c r="B65" s="90" t="s">
        <v>796</v>
      </c>
      <c r="C65" s="221" t="s">
        <v>83</v>
      </c>
      <c r="D65" s="91">
        <v>9000</v>
      </c>
      <c r="E65" s="91">
        <f>1498+1498+1498+1498</f>
        <v>5992</v>
      </c>
      <c r="F65" s="91"/>
      <c r="G65" s="149">
        <f t="shared" si="2"/>
        <v>3008</v>
      </c>
      <c r="H65" s="222" t="s">
        <v>1259</v>
      </c>
    </row>
    <row r="66" spans="1:8" ht="18.75" x14ac:dyDescent="0.3">
      <c r="A66" s="179" t="s">
        <v>650</v>
      </c>
      <c r="B66" s="90" t="s">
        <v>798</v>
      </c>
      <c r="C66" s="221" t="s">
        <v>29</v>
      </c>
      <c r="D66" s="91">
        <v>9000</v>
      </c>
      <c r="E66" s="91">
        <f>1476.6+1476.6+1476.6+1476.6</f>
        <v>5906.4</v>
      </c>
      <c r="F66" s="91"/>
      <c r="G66" s="149">
        <f t="shared" si="2"/>
        <v>3093.6000000000004</v>
      </c>
      <c r="H66" s="222" t="s">
        <v>1405</v>
      </c>
    </row>
    <row r="67" spans="1:8" ht="18.75" x14ac:dyDescent="0.3">
      <c r="A67" s="179" t="s">
        <v>650</v>
      </c>
      <c r="B67" s="90" t="s">
        <v>798</v>
      </c>
      <c r="C67" s="221" t="s">
        <v>102</v>
      </c>
      <c r="D67" s="91">
        <v>12000</v>
      </c>
      <c r="E67" s="91">
        <f>1476.6+1476.6+1476.6+1476.6</f>
        <v>5906.4</v>
      </c>
      <c r="F67" s="91"/>
      <c r="G67" s="149">
        <f t="shared" si="2"/>
        <v>6093.6</v>
      </c>
      <c r="H67" s="222" t="s">
        <v>1405</v>
      </c>
    </row>
    <row r="68" spans="1:8" ht="18.75" x14ac:dyDescent="0.3">
      <c r="A68" s="179" t="s">
        <v>793</v>
      </c>
      <c r="B68" s="90" t="s">
        <v>811</v>
      </c>
      <c r="C68" s="221" t="s">
        <v>103</v>
      </c>
      <c r="D68" s="91">
        <v>12000</v>
      </c>
      <c r="E68" s="91">
        <f>1605+1605+1605+1605</f>
        <v>6420</v>
      </c>
      <c r="F68" s="91"/>
      <c r="G68" s="149">
        <f t="shared" si="2"/>
        <v>5580</v>
      </c>
      <c r="H68" s="222" t="s">
        <v>1136</v>
      </c>
    </row>
    <row r="69" spans="1:8" ht="18.75" x14ac:dyDescent="0.3">
      <c r="A69" s="179" t="s">
        <v>650</v>
      </c>
      <c r="B69" s="90" t="s">
        <v>798</v>
      </c>
      <c r="C69" s="221" t="s">
        <v>459</v>
      </c>
      <c r="D69" s="91">
        <v>9000</v>
      </c>
      <c r="E69" s="91">
        <f>1177+1177+1177+1177</f>
        <v>4708</v>
      </c>
      <c r="F69" s="91"/>
      <c r="G69" s="149">
        <f t="shared" si="2"/>
        <v>4292</v>
      </c>
      <c r="H69" s="222" t="s">
        <v>1404</v>
      </c>
    </row>
    <row r="70" spans="1:8" ht="18.75" x14ac:dyDescent="0.3">
      <c r="A70" s="179" t="s">
        <v>1019</v>
      </c>
      <c r="B70" s="90" t="s">
        <v>1039</v>
      </c>
      <c r="C70" s="221" t="s">
        <v>50</v>
      </c>
      <c r="D70" s="91">
        <v>9000</v>
      </c>
      <c r="E70" s="91">
        <f>426.93+426.93+426.93</f>
        <v>1280.79</v>
      </c>
      <c r="F70" s="91"/>
      <c r="G70" s="149">
        <f t="shared" si="2"/>
        <v>7719.21</v>
      </c>
      <c r="H70" s="222" t="s">
        <v>1136</v>
      </c>
    </row>
    <row r="71" spans="1:8" ht="18.75" x14ac:dyDescent="0.3">
      <c r="A71" s="179" t="s">
        <v>684</v>
      </c>
      <c r="B71" s="90" t="s">
        <v>685</v>
      </c>
      <c r="C71" s="221" t="s">
        <v>460</v>
      </c>
      <c r="D71" s="91">
        <v>9000</v>
      </c>
      <c r="E71" s="91">
        <f>1284+1284+1284+642+642</f>
        <v>5136</v>
      </c>
      <c r="F71" s="91"/>
      <c r="G71" s="149">
        <f t="shared" si="2"/>
        <v>3864</v>
      </c>
      <c r="H71" s="222" t="s">
        <v>1136</v>
      </c>
    </row>
    <row r="72" spans="1:8" ht="18.75" x14ac:dyDescent="0.3">
      <c r="A72" s="179" t="s">
        <v>1057</v>
      </c>
      <c r="B72" s="90" t="s">
        <v>686</v>
      </c>
      <c r="C72" s="221" t="s">
        <v>461</v>
      </c>
      <c r="D72" s="91">
        <v>9000</v>
      </c>
      <c r="E72" s="91">
        <f>1476.6+1476.6+1476.6+1476.6</f>
        <v>5906.4</v>
      </c>
      <c r="F72" s="91"/>
      <c r="G72" s="149">
        <f t="shared" si="2"/>
        <v>3093.6000000000004</v>
      </c>
      <c r="H72" s="222" t="s">
        <v>1404</v>
      </c>
    </row>
    <row r="73" spans="1:8" ht="18.75" x14ac:dyDescent="0.3">
      <c r="A73" s="179" t="s">
        <v>1019</v>
      </c>
      <c r="B73" s="90" t="s">
        <v>1043</v>
      </c>
      <c r="C73" s="221" t="s">
        <v>462</v>
      </c>
      <c r="D73" s="266">
        <v>12000</v>
      </c>
      <c r="E73" s="91">
        <f>1893.9+1893.9+1893.9</f>
        <v>5681.7000000000007</v>
      </c>
      <c r="F73" s="91"/>
      <c r="G73" s="149">
        <f t="shared" si="2"/>
        <v>6318.2999999999993</v>
      </c>
      <c r="H73" s="227" t="s">
        <v>1260</v>
      </c>
    </row>
    <row r="74" spans="1:8" ht="18.75" x14ac:dyDescent="0.3">
      <c r="A74" s="179" t="s">
        <v>650</v>
      </c>
      <c r="B74" s="90" t="s">
        <v>796</v>
      </c>
      <c r="C74" s="221" t="s">
        <v>463</v>
      </c>
      <c r="D74" s="91">
        <v>9000</v>
      </c>
      <c r="E74" s="91">
        <f>1498+1498+1498+1498</f>
        <v>5992</v>
      </c>
      <c r="F74" s="91"/>
      <c r="G74" s="149">
        <f t="shared" si="2"/>
        <v>3008</v>
      </c>
      <c r="H74" s="222" t="s">
        <v>1136</v>
      </c>
    </row>
    <row r="75" spans="1:8" ht="18.75" x14ac:dyDescent="0.3">
      <c r="A75" s="179" t="s">
        <v>650</v>
      </c>
      <c r="B75" s="90" t="s">
        <v>796</v>
      </c>
      <c r="C75" s="221" t="s">
        <v>464</v>
      </c>
      <c r="D75" s="91">
        <v>9000</v>
      </c>
      <c r="E75" s="91">
        <f>1300+1300+1300+1300</f>
        <v>5200</v>
      </c>
      <c r="F75" s="91"/>
      <c r="G75" s="149">
        <f t="shared" si="2"/>
        <v>3800</v>
      </c>
      <c r="H75" s="222" t="s">
        <v>1136</v>
      </c>
    </row>
    <row r="76" spans="1:8" ht="18.75" x14ac:dyDescent="0.3">
      <c r="A76" s="179" t="s">
        <v>793</v>
      </c>
      <c r="B76" s="90" t="s">
        <v>811</v>
      </c>
      <c r="C76" s="221" t="s">
        <v>465</v>
      </c>
      <c r="D76" s="91">
        <v>9000</v>
      </c>
      <c r="E76" s="91">
        <f>1498+1498+1498+1498</f>
        <v>5992</v>
      </c>
      <c r="F76" s="91"/>
      <c r="G76" s="149">
        <f t="shared" si="2"/>
        <v>3008</v>
      </c>
      <c r="H76" s="222" t="s">
        <v>1136</v>
      </c>
    </row>
    <row r="77" spans="1:8" ht="18.75" x14ac:dyDescent="0.3">
      <c r="A77" s="179" t="s">
        <v>650</v>
      </c>
      <c r="B77" s="90" t="s">
        <v>797</v>
      </c>
      <c r="C77" s="221" t="s">
        <v>466</v>
      </c>
      <c r="D77" s="91">
        <v>12000</v>
      </c>
      <c r="E77" s="91">
        <f>1926+1926+1926+1926</f>
        <v>7704</v>
      </c>
      <c r="F77" s="91"/>
      <c r="G77" s="149">
        <f t="shared" si="2"/>
        <v>4296</v>
      </c>
      <c r="H77" s="222" t="s">
        <v>1136</v>
      </c>
    </row>
    <row r="78" spans="1:8" ht="18.75" x14ac:dyDescent="0.3">
      <c r="A78" s="179" t="s">
        <v>793</v>
      </c>
      <c r="B78" s="90" t="s">
        <v>812</v>
      </c>
      <c r="C78" s="221" t="s">
        <v>467</v>
      </c>
      <c r="D78" s="91">
        <v>12000</v>
      </c>
      <c r="E78" s="91">
        <f>1926+1926+1926+1926</f>
        <v>7704</v>
      </c>
      <c r="F78" s="91"/>
      <c r="G78" s="149">
        <f t="shared" si="2"/>
        <v>4296</v>
      </c>
      <c r="H78" s="222" t="s">
        <v>1136</v>
      </c>
    </row>
    <row r="79" spans="1:8" ht="18.75" x14ac:dyDescent="0.3">
      <c r="A79" s="179" t="s">
        <v>793</v>
      </c>
      <c r="B79" s="90" t="s">
        <v>812</v>
      </c>
      <c r="C79" s="221" t="s">
        <v>468</v>
      </c>
      <c r="D79" s="91">
        <v>9000</v>
      </c>
      <c r="E79" s="91">
        <f>738.3+738.3+738.3+738.3</f>
        <v>2953.2</v>
      </c>
      <c r="F79" s="91"/>
      <c r="G79" s="149">
        <f t="shared" si="2"/>
        <v>6046.8</v>
      </c>
      <c r="H79" s="222" t="s">
        <v>1404</v>
      </c>
    </row>
    <row r="80" spans="1:8" ht="18.75" x14ac:dyDescent="0.3">
      <c r="A80" s="179" t="s">
        <v>650</v>
      </c>
      <c r="B80" s="90" t="s">
        <v>798</v>
      </c>
      <c r="C80" s="221" t="s">
        <v>469</v>
      </c>
      <c r="D80" s="91">
        <v>12000</v>
      </c>
      <c r="E80" s="91">
        <f>1957.03+1957.03+1957.03+1957.03</f>
        <v>7828.12</v>
      </c>
      <c r="F80" s="91"/>
      <c r="G80" s="149">
        <f t="shared" si="2"/>
        <v>4171.88</v>
      </c>
      <c r="H80" s="222" t="s">
        <v>1404</v>
      </c>
    </row>
    <row r="81" spans="1:8" ht="18.75" x14ac:dyDescent="0.3">
      <c r="A81" s="179" t="s">
        <v>650</v>
      </c>
      <c r="B81" s="90" t="s">
        <v>798</v>
      </c>
      <c r="C81" s="221" t="s">
        <v>470</v>
      </c>
      <c r="D81" s="91">
        <v>12000</v>
      </c>
      <c r="E81" s="91">
        <f>1957.03+1957.03+1957.03+1957.03</f>
        <v>7828.12</v>
      </c>
      <c r="F81" s="91"/>
      <c r="G81" s="149">
        <f t="shared" si="2"/>
        <v>4171.88</v>
      </c>
      <c r="H81" s="222" t="s">
        <v>1404</v>
      </c>
    </row>
    <row r="82" spans="1:8" ht="18.75" x14ac:dyDescent="0.3">
      <c r="A82" s="179" t="s">
        <v>650</v>
      </c>
      <c r="B82" s="90" t="s">
        <v>798</v>
      </c>
      <c r="C82" s="221" t="s">
        <v>471</v>
      </c>
      <c r="D82" s="91">
        <v>9000</v>
      </c>
      <c r="E82" s="91">
        <f>738.3+738.3+738.3+738.3</f>
        <v>2953.2</v>
      </c>
      <c r="F82" s="91"/>
      <c r="G82" s="149">
        <f t="shared" si="2"/>
        <v>6046.8</v>
      </c>
      <c r="H82" s="222" t="s">
        <v>1404</v>
      </c>
    </row>
    <row r="83" spans="1:8" ht="18.75" x14ac:dyDescent="0.3">
      <c r="A83" s="179" t="s">
        <v>793</v>
      </c>
      <c r="B83" s="90" t="s">
        <v>812</v>
      </c>
      <c r="C83" s="221" t="s">
        <v>472</v>
      </c>
      <c r="D83" s="91">
        <v>9000</v>
      </c>
      <c r="E83" s="91">
        <f>1498+1498+1498+1498</f>
        <v>5992</v>
      </c>
      <c r="F83" s="91"/>
      <c r="G83" s="149">
        <f t="shared" si="2"/>
        <v>3008</v>
      </c>
      <c r="H83" s="222" t="s">
        <v>1136</v>
      </c>
    </row>
    <row r="84" spans="1:8" ht="18.75" x14ac:dyDescent="0.3">
      <c r="A84" s="179" t="s">
        <v>650</v>
      </c>
      <c r="B84" s="90" t="s">
        <v>797</v>
      </c>
      <c r="C84" s="221" t="s">
        <v>473</v>
      </c>
      <c r="D84" s="91">
        <v>9000</v>
      </c>
      <c r="E84" s="91">
        <f>1498+1498+1498+1498</f>
        <v>5992</v>
      </c>
      <c r="F84" s="91"/>
      <c r="G84" s="149">
        <f t="shared" si="2"/>
        <v>3008</v>
      </c>
      <c r="H84" s="222" t="s">
        <v>1136</v>
      </c>
    </row>
    <row r="85" spans="1:8" ht="18.75" x14ac:dyDescent="0.3">
      <c r="A85" s="179" t="s">
        <v>1059</v>
      </c>
      <c r="B85" s="90" t="s">
        <v>797</v>
      </c>
      <c r="C85" s="221" t="s">
        <v>474</v>
      </c>
      <c r="D85" s="91">
        <v>9000</v>
      </c>
      <c r="E85" s="91">
        <f>1476.6+1476.6+1476.6+1476.6</f>
        <v>5906.4</v>
      </c>
      <c r="F85" s="91"/>
      <c r="G85" s="149">
        <f t="shared" ref="G85:G148" si="3">D85-E85</f>
        <v>3093.6000000000004</v>
      </c>
      <c r="H85" s="222" t="s">
        <v>1405</v>
      </c>
    </row>
    <row r="86" spans="1:8" ht="18.75" x14ac:dyDescent="0.3">
      <c r="A86" s="179" t="s">
        <v>650</v>
      </c>
      <c r="B86" s="90" t="s">
        <v>797</v>
      </c>
      <c r="C86" s="221" t="s">
        <v>53</v>
      </c>
      <c r="D86" s="91">
        <v>12000</v>
      </c>
      <c r="E86" s="91">
        <f>1926+1926+1926+1926</f>
        <v>7704</v>
      </c>
      <c r="F86" s="91"/>
      <c r="G86" s="149">
        <f t="shared" si="3"/>
        <v>4296</v>
      </c>
      <c r="H86" s="222" t="s">
        <v>1259</v>
      </c>
    </row>
    <row r="87" spans="1:8" ht="18.75" x14ac:dyDescent="0.3">
      <c r="A87" s="179"/>
      <c r="B87" s="90">
        <v>68</v>
      </c>
      <c r="C87" s="394" t="s">
        <v>475</v>
      </c>
      <c r="D87" s="395">
        <v>12000</v>
      </c>
      <c r="E87" s="395"/>
      <c r="F87" s="395"/>
      <c r="G87" s="391">
        <f t="shared" si="3"/>
        <v>12000</v>
      </c>
      <c r="H87" s="396" t="s">
        <v>2297</v>
      </c>
    </row>
    <row r="88" spans="1:8" ht="18.75" x14ac:dyDescent="0.3">
      <c r="A88" s="179" t="s">
        <v>650</v>
      </c>
      <c r="B88" s="90" t="s">
        <v>798</v>
      </c>
      <c r="C88" s="221" t="s">
        <v>86</v>
      </c>
      <c r="D88" s="91">
        <v>12000</v>
      </c>
      <c r="E88" s="91">
        <f>738.3+738.3+738.3+738.3</f>
        <v>2953.2</v>
      </c>
      <c r="F88" s="91"/>
      <c r="G88" s="149">
        <f t="shared" si="3"/>
        <v>9046.7999999999993</v>
      </c>
      <c r="H88" s="222" t="s">
        <v>1405</v>
      </c>
    </row>
    <row r="89" spans="1:8" ht="18.75" x14ac:dyDescent="0.3">
      <c r="A89" s="179" t="s">
        <v>650</v>
      </c>
      <c r="B89" s="90" t="s">
        <v>798</v>
      </c>
      <c r="C89" s="221" t="s">
        <v>476</v>
      </c>
      <c r="D89" s="91">
        <v>21000</v>
      </c>
      <c r="E89" s="91">
        <f>3156.5+3156.5+3156.5+3156.5</f>
        <v>12626</v>
      </c>
      <c r="F89" s="91"/>
      <c r="G89" s="149">
        <f t="shared" si="3"/>
        <v>8374</v>
      </c>
      <c r="H89" s="222" t="s">
        <v>1405</v>
      </c>
    </row>
    <row r="90" spans="1:8" ht="18.75" x14ac:dyDescent="0.3">
      <c r="A90" s="179" t="s">
        <v>650</v>
      </c>
      <c r="B90" s="90" t="s">
        <v>798</v>
      </c>
      <c r="C90" s="221" t="s">
        <v>477</v>
      </c>
      <c r="D90" s="91">
        <v>9000</v>
      </c>
      <c r="E90" s="91">
        <f>1476.6+1476.6+1476.6+1476.6</f>
        <v>5906.4</v>
      </c>
      <c r="F90" s="91"/>
      <c r="G90" s="149">
        <f t="shared" si="3"/>
        <v>3093.6000000000004</v>
      </c>
      <c r="H90" s="222" t="s">
        <v>1404</v>
      </c>
    </row>
    <row r="91" spans="1:8" ht="18.75" x14ac:dyDescent="0.3">
      <c r="A91" s="179" t="s">
        <v>650</v>
      </c>
      <c r="B91" s="90" t="s">
        <v>798</v>
      </c>
      <c r="C91" s="221" t="s">
        <v>38</v>
      </c>
      <c r="D91" s="91">
        <v>12000</v>
      </c>
      <c r="E91" s="91">
        <f>749+749+749+749</f>
        <v>2996</v>
      </c>
      <c r="F91" s="91"/>
      <c r="G91" s="149">
        <f t="shared" si="3"/>
        <v>9004</v>
      </c>
      <c r="H91" s="222" t="s">
        <v>1404</v>
      </c>
    </row>
    <row r="92" spans="1:8" ht="18.75" x14ac:dyDescent="0.3">
      <c r="A92" s="179" t="s">
        <v>654</v>
      </c>
      <c r="B92" s="90" t="s">
        <v>797</v>
      </c>
      <c r="C92" s="221" t="s">
        <v>478</v>
      </c>
      <c r="D92" s="91">
        <v>9000</v>
      </c>
      <c r="E92" s="91">
        <f>1476.6+1476.6+1476.6+1476.6</f>
        <v>5906.4</v>
      </c>
      <c r="F92" s="91"/>
      <c r="G92" s="149">
        <f t="shared" si="3"/>
        <v>3093.6000000000004</v>
      </c>
      <c r="H92" s="222" t="s">
        <v>1404</v>
      </c>
    </row>
    <row r="93" spans="1:8" ht="18.75" x14ac:dyDescent="0.3">
      <c r="A93" s="179" t="s">
        <v>650</v>
      </c>
      <c r="B93" s="90" t="s">
        <v>798</v>
      </c>
      <c r="C93" s="221" t="s">
        <v>52</v>
      </c>
      <c r="D93" s="91">
        <v>9000</v>
      </c>
      <c r="E93" s="91">
        <f>1476.6+1476.6+1476.6+1476.6</f>
        <v>5906.4</v>
      </c>
      <c r="F93" s="91"/>
      <c r="G93" s="149">
        <f t="shared" si="3"/>
        <v>3093.6000000000004</v>
      </c>
      <c r="H93" s="222" t="s">
        <v>1136</v>
      </c>
    </row>
    <row r="94" spans="1:8" ht="18.75" x14ac:dyDescent="0.3">
      <c r="A94" s="179" t="s">
        <v>650</v>
      </c>
      <c r="B94" s="90" t="s">
        <v>796</v>
      </c>
      <c r="C94" s="221" t="s">
        <v>479</v>
      </c>
      <c r="D94" s="91">
        <v>9000</v>
      </c>
      <c r="E94" s="91">
        <f>1300+1300+1300+1300</f>
        <v>5200</v>
      </c>
      <c r="F94" s="91"/>
      <c r="G94" s="149">
        <f t="shared" si="3"/>
        <v>3800</v>
      </c>
      <c r="H94" s="222" t="s">
        <v>1136</v>
      </c>
    </row>
    <row r="95" spans="1:8" ht="18.75" x14ac:dyDescent="0.3">
      <c r="A95" s="179" t="s">
        <v>650</v>
      </c>
      <c r="B95" s="90" t="s">
        <v>797</v>
      </c>
      <c r="C95" s="221" t="s">
        <v>480</v>
      </c>
      <c r="D95" s="91">
        <v>21000</v>
      </c>
      <c r="E95" s="91">
        <f>3317+3317+3317+3317</f>
        <v>13268</v>
      </c>
      <c r="F95" s="91"/>
      <c r="G95" s="149">
        <f t="shared" si="3"/>
        <v>7732</v>
      </c>
      <c r="H95" s="222" t="s">
        <v>1136</v>
      </c>
    </row>
    <row r="96" spans="1:8" ht="18.75" x14ac:dyDescent="0.3">
      <c r="A96" s="179" t="s">
        <v>650</v>
      </c>
      <c r="B96" s="90" t="s">
        <v>797</v>
      </c>
      <c r="C96" s="221" t="s">
        <v>481</v>
      </c>
      <c r="D96" s="91">
        <v>9000</v>
      </c>
      <c r="E96" s="91">
        <f>749+1284+1284+1284</f>
        <v>4601</v>
      </c>
      <c r="F96" s="91"/>
      <c r="G96" s="149">
        <f t="shared" si="3"/>
        <v>4399</v>
      </c>
      <c r="H96" s="222" t="s">
        <v>1136</v>
      </c>
    </row>
    <row r="97" spans="1:8" ht="18.75" x14ac:dyDescent="0.3">
      <c r="A97" s="179" t="s">
        <v>650</v>
      </c>
      <c r="B97" s="90" t="s">
        <v>798</v>
      </c>
      <c r="C97" s="221" t="s">
        <v>87</v>
      </c>
      <c r="D97" s="91">
        <v>12000</v>
      </c>
      <c r="E97" s="91">
        <f>1476.6+1476.6+1476.6+1476.6</f>
        <v>5906.4</v>
      </c>
      <c r="F97" s="91"/>
      <c r="G97" s="149">
        <f t="shared" si="3"/>
        <v>6093.6</v>
      </c>
      <c r="H97" s="222" t="s">
        <v>1404</v>
      </c>
    </row>
    <row r="98" spans="1:8" ht="18.75" x14ac:dyDescent="0.3">
      <c r="A98" s="179" t="s">
        <v>650</v>
      </c>
      <c r="B98" s="90" t="s">
        <v>797</v>
      </c>
      <c r="C98" s="221" t="s">
        <v>482</v>
      </c>
      <c r="D98" s="91">
        <v>9000</v>
      </c>
      <c r="E98" s="91">
        <f>1284+1284+1284+1284</f>
        <v>5136</v>
      </c>
      <c r="F98" s="91"/>
      <c r="G98" s="149">
        <f t="shared" si="3"/>
        <v>3864</v>
      </c>
      <c r="H98" s="222" t="s">
        <v>1136</v>
      </c>
    </row>
    <row r="99" spans="1:8" ht="18.75" x14ac:dyDescent="0.3">
      <c r="A99" s="179" t="s">
        <v>650</v>
      </c>
      <c r="B99" s="90" t="s">
        <v>798</v>
      </c>
      <c r="C99" s="221" t="s">
        <v>483</v>
      </c>
      <c r="D99" s="91">
        <v>9000</v>
      </c>
      <c r="E99" s="91">
        <f>1476.6+1476.6+1476.6+1476.6</f>
        <v>5906.4</v>
      </c>
      <c r="F99" s="91"/>
      <c r="G99" s="149">
        <f t="shared" si="3"/>
        <v>3093.6000000000004</v>
      </c>
      <c r="H99" s="222" t="s">
        <v>1405</v>
      </c>
    </row>
    <row r="100" spans="1:8" ht="18.75" x14ac:dyDescent="0.3">
      <c r="A100" s="179" t="s">
        <v>650</v>
      </c>
      <c r="B100" s="90" t="s">
        <v>798</v>
      </c>
      <c r="C100" s="221" t="s">
        <v>484</v>
      </c>
      <c r="D100" s="91">
        <v>9000</v>
      </c>
      <c r="E100" s="91">
        <f>1476.6+1476.6+1476.6+1476.6</f>
        <v>5906.4</v>
      </c>
      <c r="F100" s="91"/>
      <c r="G100" s="149">
        <f t="shared" si="3"/>
        <v>3093.6000000000004</v>
      </c>
      <c r="H100" s="222" t="s">
        <v>1405</v>
      </c>
    </row>
    <row r="101" spans="1:8" ht="18.75" x14ac:dyDescent="0.3">
      <c r="A101" s="179" t="s">
        <v>650</v>
      </c>
      <c r="B101" s="90" t="s">
        <v>797</v>
      </c>
      <c r="C101" s="221" t="s">
        <v>485</v>
      </c>
      <c r="D101" s="91">
        <v>9000</v>
      </c>
      <c r="E101" s="91">
        <f>631.3+631.3+631.3+631.3</f>
        <v>2525.1999999999998</v>
      </c>
      <c r="F101" s="91"/>
      <c r="G101" s="149">
        <f t="shared" si="3"/>
        <v>6474.8</v>
      </c>
      <c r="H101" s="222" t="s">
        <v>1259</v>
      </c>
    </row>
    <row r="102" spans="1:8" ht="18.75" x14ac:dyDescent="0.3">
      <c r="A102" s="179"/>
      <c r="B102" s="90">
        <v>83</v>
      </c>
      <c r="C102" s="389" t="s">
        <v>96</v>
      </c>
      <c r="D102" s="390">
        <v>9000</v>
      </c>
      <c r="E102" s="390"/>
      <c r="F102" s="390"/>
      <c r="G102" s="391">
        <f t="shared" si="3"/>
        <v>9000</v>
      </c>
      <c r="H102" s="392" t="s">
        <v>561</v>
      </c>
    </row>
    <row r="103" spans="1:8" ht="18.75" x14ac:dyDescent="0.3">
      <c r="A103" s="179"/>
      <c r="B103" s="90">
        <v>84</v>
      </c>
      <c r="C103" s="389" t="s">
        <v>486</v>
      </c>
      <c r="D103" s="390">
        <v>9000</v>
      </c>
      <c r="E103" s="390"/>
      <c r="F103" s="390"/>
      <c r="G103" s="391">
        <f t="shared" si="3"/>
        <v>9000</v>
      </c>
      <c r="H103" s="392" t="s">
        <v>561</v>
      </c>
    </row>
    <row r="104" spans="1:8" ht="18.75" x14ac:dyDescent="0.3">
      <c r="A104" s="179"/>
      <c r="B104" s="90">
        <v>85</v>
      </c>
      <c r="C104" s="389" t="s">
        <v>54</v>
      </c>
      <c r="D104" s="390">
        <v>9000</v>
      </c>
      <c r="E104" s="390"/>
      <c r="F104" s="390"/>
      <c r="G104" s="391">
        <f t="shared" si="3"/>
        <v>9000</v>
      </c>
      <c r="H104" s="392" t="s">
        <v>2297</v>
      </c>
    </row>
    <row r="105" spans="1:8" ht="18.75" x14ac:dyDescent="0.3">
      <c r="A105" s="179" t="s">
        <v>650</v>
      </c>
      <c r="B105" s="90" t="s">
        <v>797</v>
      </c>
      <c r="C105" s="221" t="s">
        <v>487</v>
      </c>
      <c r="D105" s="91">
        <v>12000</v>
      </c>
      <c r="E105" s="91">
        <f>1926+1926+1926+1926</f>
        <v>7704</v>
      </c>
      <c r="F105" s="91"/>
      <c r="G105" s="149">
        <f t="shared" si="3"/>
        <v>4296</v>
      </c>
      <c r="H105" s="222" t="s">
        <v>1404</v>
      </c>
    </row>
    <row r="106" spans="1:8" ht="18.75" x14ac:dyDescent="0.3">
      <c r="A106" s="179" t="s">
        <v>650</v>
      </c>
      <c r="B106" s="90" t="s">
        <v>797</v>
      </c>
      <c r="C106" s="221" t="s">
        <v>488</v>
      </c>
      <c r="D106" s="91">
        <v>9000</v>
      </c>
      <c r="E106" s="91">
        <f>749+749+749+749</f>
        <v>2996</v>
      </c>
      <c r="F106" s="91"/>
      <c r="G106" s="149">
        <f t="shared" si="3"/>
        <v>6004</v>
      </c>
      <c r="H106" s="222" t="s">
        <v>1136</v>
      </c>
    </row>
    <row r="107" spans="1:8" ht="18.75" x14ac:dyDescent="0.3">
      <c r="A107" s="179" t="s">
        <v>650</v>
      </c>
      <c r="B107" s="90" t="s">
        <v>797</v>
      </c>
      <c r="C107" s="221" t="s">
        <v>489</v>
      </c>
      <c r="D107" s="91">
        <v>12000</v>
      </c>
      <c r="E107" s="91">
        <f>1926+1926+1926+1926</f>
        <v>7704</v>
      </c>
      <c r="F107" s="91"/>
      <c r="G107" s="149">
        <f t="shared" si="3"/>
        <v>4296</v>
      </c>
      <c r="H107" s="222" t="s">
        <v>1136</v>
      </c>
    </row>
    <row r="108" spans="1:8" ht="18.75" x14ac:dyDescent="0.3">
      <c r="A108" s="179" t="s">
        <v>650</v>
      </c>
      <c r="B108" s="90" t="s">
        <v>796</v>
      </c>
      <c r="C108" s="221" t="s">
        <v>104</v>
      </c>
      <c r="D108" s="91">
        <v>12000</v>
      </c>
      <c r="E108" s="91">
        <f>1808.3+1808.3+1808.3+1808.3</f>
        <v>7233.2</v>
      </c>
      <c r="F108" s="91"/>
      <c r="G108" s="149">
        <f t="shared" si="3"/>
        <v>4766.8</v>
      </c>
      <c r="H108" s="222" t="s">
        <v>1136</v>
      </c>
    </row>
    <row r="109" spans="1:8" ht="18.75" x14ac:dyDescent="0.3">
      <c r="A109" s="179" t="s">
        <v>1128</v>
      </c>
      <c r="B109" s="90" t="s">
        <v>1135</v>
      </c>
      <c r="C109" s="221" t="s">
        <v>97</v>
      </c>
      <c r="D109" s="91">
        <v>12000</v>
      </c>
      <c r="E109" s="91">
        <f>1476.6+1476.6+1476.6+1476.6</f>
        <v>5906.4</v>
      </c>
      <c r="F109" s="91"/>
      <c r="G109" s="149">
        <f t="shared" si="3"/>
        <v>6093.6</v>
      </c>
      <c r="H109" s="222" t="s">
        <v>1404</v>
      </c>
    </row>
    <row r="110" spans="1:8" ht="18.75" x14ac:dyDescent="0.3">
      <c r="A110" s="179" t="s">
        <v>650</v>
      </c>
      <c r="B110" s="90" t="s">
        <v>797</v>
      </c>
      <c r="C110" s="221" t="s">
        <v>490</v>
      </c>
      <c r="D110" s="91">
        <v>9000</v>
      </c>
      <c r="E110" s="91">
        <f>749+749+749+749</f>
        <v>2996</v>
      </c>
      <c r="F110" s="91"/>
      <c r="G110" s="149">
        <f t="shared" si="3"/>
        <v>6004</v>
      </c>
      <c r="H110" s="222" t="s">
        <v>1136</v>
      </c>
    </row>
    <row r="111" spans="1:8" ht="18.75" x14ac:dyDescent="0.3">
      <c r="A111" s="179" t="s">
        <v>1019</v>
      </c>
      <c r="B111" s="90" t="s">
        <v>1040</v>
      </c>
      <c r="C111" s="221" t="s">
        <v>491</v>
      </c>
      <c r="D111" s="91">
        <v>12000</v>
      </c>
      <c r="E111" s="91">
        <f>1476.6+1476.6+1476.6+1476.6</f>
        <v>5906.4</v>
      </c>
      <c r="F111" s="91"/>
      <c r="G111" s="149">
        <f t="shared" si="3"/>
        <v>6093.6</v>
      </c>
      <c r="H111" s="222" t="s">
        <v>1404</v>
      </c>
    </row>
    <row r="112" spans="1:8" ht="18.75" x14ac:dyDescent="0.3">
      <c r="A112" s="179" t="s">
        <v>650</v>
      </c>
      <c r="B112" s="90" t="s">
        <v>797</v>
      </c>
      <c r="C112" s="221" t="s">
        <v>55</v>
      </c>
      <c r="D112" s="91">
        <v>9000</v>
      </c>
      <c r="E112" s="91">
        <f>1476.6+1476.6+1476.6+1476.6</f>
        <v>5906.4</v>
      </c>
      <c r="F112" s="91"/>
      <c r="G112" s="149">
        <f t="shared" si="3"/>
        <v>3093.6000000000004</v>
      </c>
      <c r="H112" s="222" t="s">
        <v>1404</v>
      </c>
    </row>
    <row r="113" spans="1:8" ht="18.75" x14ac:dyDescent="0.3">
      <c r="A113" s="179" t="s">
        <v>793</v>
      </c>
      <c r="B113" s="90" t="s">
        <v>810</v>
      </c>
      <c r="C113" s="221" t="s">
        <v>492</v>
      </c>
      <c r="D113" s="91">
        <v>30000</v>
      </c>
      <c r="E113" s="91">
        <f>5000+5000+5000+5000</f>
        <v>20000</v>
      </c>
      <c r="F113" s="91"/>
      <c r="G113" s="149">
        <f t="shared" si="3"/>
        <v>10000</v>
      </c>
      <c r="H113" s="222" t="s">
        <v>1261</v>
      </c>
    </row>
    <row r="114" spans="1:8" ht="18.75" x14ac:dyDescent="0.3">
      <c r="A114" s="179" t="s">
        <v>851</v>
      </c>
      <c r="B114" s="90" t="s">
        <v>852</v>
      </c>
      <c r="C114" s="221" t="s">
        <v>93</v>
      </c>
      <c r="D114" s="91">
        <v>12000</v>
      </c>
      <c r="E114" s="91">
        <f>1498+1498+1498+1498</f>
        <v>5992</v>
      </c>
      <c r="F114" s="91"/>
      <c r="G114" s="149">
        <f t="shared" si="3"/>
        <v>6008</v>
      </c>
      <c r="H114" s="222" t="s">
        <v>1405</v>
      </c>
    </row>
    <row r="115" spans="1:8" ht="18.75" x14ac:dyDescent="0.3">
      <c r="A115" s="179" t="s">
        <v>1058</v>
      </c>
      <c r="B115" s="90" t="s">
        <v>852</v>
      </c>
      <c r="C115" s="221" t="s">
        <v>493</v>
      </c>
      <c r="D115" s="91">
        <v>9000</v>
      </c>
      <c r="E115" s="91">
        <f>1476.6+1476.6+1476.6+1476.6</f>
        <v>5906.4</v>
      </c>
      <c r="F115" s="91"/>
      <c r="G115" s="149">
        <f t="shared" si="3"/>
        <v>3093.6000000000004</v>
      </c>
      <c r="H115" s="222" t="s">
        <v>1405</v>
      </c>
    </row>
    <row r="116" spans="1:8" ht="18.75" x14ac:dyDescent="0.3">
      <c r="A116" s="179"/>
      <c r="B116" s="90">
        <v>97</v>
      </c>
      <c r="C116" s="389" t="s">
        <v>494</v>
      </c>
      <c r="D116" s="390">
        <v>9000</v>
      </c>
      <c r="E116" s="390"/>
      <c r="F116" s="390"/>
      <c r="G116" s="391">
        <f t="shared" si="3"/>
        <v>9000</v>
      </c>
      <c r="H116" s="392" t="s">
        <v>561</v>
      </c>
    </row>
    <row r="117" spans="1:8" ht="18.75" x14ac:dyDescent="0.3">
      <c r="A117" s="179" t="s">
        <v>650</v>
      </c>
      <c r="B117" s="90" t="s">
        <v>797</v>
      </c>
      <c r="C117" s="221" t="s">
        <v>495</v>
      </c>
      <c r="D117" s="91">
        <v>21000</v>
      </c>
      <c r="E117" s="91">
        <f>3317+3317+3317+3317</f>
        <v>13268</v>
      </c>
      <c r="F117" s="91"/>
      <c r="G117" s="149">
        <f t="shared" si="3"/>
        <v>7732</v>
      </c>
      <c r="H117" s="222" t="s">
        <v>1136</v>
      </c>
    </row>
    <row r="118" spans="1:8" ht="18.75" x14ac:dyDescent="0.3">
      <c r="A118" s="179" t="s">
        <v>885</v>
      </c>
      <c r="B118" s="90" t="s">
        <v>895</v>
      </c>
      <c r="C118" s="221" t="s">
        <v>65</v>
      </c>
      <c r="D118" s="91">
        <v>21000</v>
      </c>
      <c r="E118" s="91">
        <f>2996+2996+2996+2996</f>
        <v>11984</v>
      </c>
      <c r="F118" s="91"/>
      <c r="G118" s="149">
        <f t="shared" si="3"/>
        <v>9016</v>
      </c>
      <c r="H118" s="222" t="s">
        <v>1136</v>
      </c>
    </row>
    <row r="119" spans="1:8" ht="18.75" x14ac:dyDescent="0.3">
      <c r="A119" s="179" t="s">
        <v>650</v>
      </c>
      <c r="B119" s="90" t="s">
        <v>797</v>
      </c>
      <c r="C119" s="221" t="s">
        <v>496</v>
      </c>
      <c r="D119" s="91">
        <v>9000</v>
      </c>
      <c r="E119" s="91">
        <f>749+749+749+749</f>
        <v>2996</v>
      </c>
      <c r="F119" s="91"/>
      <c r="G119" s="149">
        <f t="shared" si="3"/>
        <v>6004</v>
      </c>
      <c r="H119" s="222" t="s">
        <v>1404</v>
      </c>
    </row>
    <row r="120" spans="1:8" ht="18.75" x14ac:dyDescent="0.3">
      <c r="A120" s="179"/>
      <c r="B120" s="90">
        <v>101</v>
      </c>
      <c r="C120" s="389" t="s">
        <v>497</v>
      </c>
      <c r="D120" s="390">
        <v>9000</v>
      </c>
      <c r="E120" s="390"/>
      <c r="F120" s="390"/>
      <c r="G120" s="391">
        <f t="shared" si="3"/>
        <v>9000</v>
      </c>
      <c r="H120" s="392" t="s">
        <v>1060</v>
      </c>
    </row>
    <row r="121" spans="1:8" ht="18.75" x14ac:dyDescent="0.3">
      <c r="A121" s="179" t="s">
        <v>650</v>
      </c>
      <c r="B121" s="90" t="s">
        <v>796</v>
      </c>
      <c r="C121" s="221" t="s">
        <v>498</v>
      </c>
      <c r="D121" s="91">
        <v>9000</v>
      </c>
      <c r="E121" s="91">
        <f>1300+1300+1300+1300</f>
        <v>5200</v>
      </c>
      <c r="F121" s="91"/>
      <c r="G121" s="149">
        <f t="shared" si="3"/>
        <v>3800</v>
      </c>
      <c r="H121" s="222" t="s">
        <v>1404</v>
      </c>
    </row>
    <row r="122" spans="1:8" x14ac:dyDescent="0.3">
      <c r="A122" s="179" t="s">
        <v>650</v>
      </c>
      <c r="B122" s="90" t="s">
        <v>798</v>
      </c>
      <c r="C122" s="224" t="s">
        <v>499</v>
      </c>
      <c r="D122" s="91">
        <v>12000</v>
      </c>
      <c r="E122" s="91">
        <f>1904.6+1904.6+1904.6+1904.6</f>
        <v>7618.4</v>
      </c>
      <c r="F122" s="91"/>
      <c r="G122" s="149">
        <f t="shared" si="3"/>
        <v>4381.6000000000004</v>
      </c>
      <c r="H122" s="222" t="s">
        <v>1405</v>
      </c>
    </row>
    <row r="123" spans="1:8" ht="18.75" x14ac:dyDescent="0.3">
      <c r="A123" s="179" t="s">
        <v>650</v>
      </c>
      <c r="B123" s="90" t="s">
        <v>797</v>
      </c>
      <c r="C123" s="221" t="s">
        <v>500</v>
      </c>
      <c r="D123" s="91">
        <v>9000</v>
      </c>
      <c r="E123" s="91">
        <f>1498+1498+1498+1498</f>
        <v>5992</v>
      </c>
      <c r="F123" s="91"/>
      <c r="G123" s="149">
        <f t="shared" si="3"/>
        <v>3008</v>
      </c>
      <c r="H123" s="222" t="s">
        <v>1259</v>
      </c>
    </row>
    <row r="124" spans="1:8" ht="18.75" x14ac:dyDescent="0.3">
      <c r="A124" s="179" t="s">
        <v>650</v>
      </c>
      <c r="B124" s="90" t="s">
        <v>797</v>
      </c>
      <c r="C124" s="221" t="s">
        <v>92</v>
      </c>
      <c r="D124" s="91">
        <v>21000</v>
      </c>
      <c r="E124" s="91">
        <f>3424+3424+3424+3424</f>
        <v>13696</v>
      </c>
      <c r="F124" s="91"/>
      <c r="G124" s="149">
        <f t="shared" si="3"/>
        <v>7304</v>
      </c>
      <c r="H124" s="222" t="s">
        <v>1136</v>
      </c>
    </row>
    <row r="125" spans="1:8" ht="18.75" x14ac:dyDescent="0.3">
      <c r="A125" s="179"/>
      <c r="B125" s="90">
        <v>106</v>
      </c>
      <c r="C125" s="389" t="s">
        <v>501</v>
      </c>
      <c r="D125" s="390">
        <v>9000</v>
      </c>
      <c r="E125" s="390"/>
      <c r="F125" s="390"/>
      <c r="G125" s="391">
        <f t="shared" si="3"/>
        <v>9000</v>
      </c>
      <c r="H125" s="392" t="s">
        <v>1154</v>
      </c>
    </row>
    <row r="126" spans="1:8" ht="18.75" x14ac:dyDescent="0.3">
      <c r="A126" s="179" t="s">
        <v>650</v>
      </c>
      <c r="B126" s="90" t="s">
        <v>797</v>
      </c>
      <c r="C126" s="221" t="s">
        <v>502</v>
      </c>
      <c r="D126" s="91">
        <v>9000</v>
      </c>
      <c r="E126" s="91">
        <f>1498+1498+1498+1498</f>
        <v>5992</v>
      </c>
      <c r="F126" s="91"/>
      <c r="G126" s="149">
        <f t="shared" si="3"/>
        <v>3008</v>
      </c>
      <c r="H126" s="222" t="s">
        <v>1136</v>
      </c>
    </row>
    <row r="127" spans="1:8" ht="18.75" x14ac:dyDescent="0.3">
      <c r="A127" s="179" t="s">
        <v>650</v>
      </c>
      <c r="B127" s="90" t="s">
        <v>797</v>
      </c>
      <c r="C127" s="221" t="s">
        <v>90</v>
      </c>
      <c r="D127" s="91">
        <v>12000</v>
      </c>
      <c r="E127" s="91">
        <f>631.3+1284+1284+1284</f>
        <v>4483.3</v>
      </c>
      <c r="F127" s="91"/>
      <c r="G127" s="149">
        <f t="shared" si="3"/>
        <v>7516.7</v>
      </c>
      <c r="H127" s="222" t="s">
        <v>1136</v>
      </c>
    </row>
    <row r="128" spans="1:8" ht="18.75" x14ac:dyDescent="0.3">
      <c r="A128" s="179"/>
      <c r="B128" s="90">
        <v>109</v>
      </c>
      <c r="C128" s="389" t="s">
        <v>503</v>
      </c>
      <c r="D128" s="390">
        <v>9000</v>
      </c>
      <c r="E128" s="390"/>
      <c r="F128" s="390"/>
      <c r="G128" s="391">
        <f t="shared" si="3"/>
        <v>9000</v>
      </c>
      <c r="H128" s="392" t="s">
        <v>1154</v>
      </c>
    </row>
    <row r="129" spans="1:8" ht="18.75" x14ac:dyDescent="0.3">
      <c r="A129" s="179" t="s">
        <v>1019</v>
      </c>
      <c r="B129" s="90" t="s">
        <v>1041</v>
      </c>
      <c r="C129" s="221" t="s">
        <v>98</v>
      </c>
      <c r="D129" s="91">
        <v>12000</v>
      </c>
      <c r="E129" s="91">
        <f>1926+1926+1926+1926</f>
        <v>7704</v>
      </c>
      <c r="F129" s="91"/>
      <c r="G129" s="149">
        <f t="shared" si="3"/>
        <v>4296</v>
      </c>
      <c r="H129" s="222" t="s">
        <v>1136</v>
      </c>
    </row>
    <row r="130" spans="1:8" ht="18.75" x14ac:dyDescent="0.3">
      <c r="A130" s="179" t="s">
        <v>650</v>
      </c>
      <c r="B130" s="90" t="s">
        <v>797</v>
      </c>
      <c r="C130" s="221" t="s">
        <v>504</v>
      </c>
      <c r="D130" s="91">
        <v>9000</v>
      </c>
      <c r="E130" s="91">
        <f>749+749+749+749</f>
        <v>2996</v>
      </c>
      <c r="F130" s="91"/>
      <c r="G130" s="149">
        <f t="shared" si="3"/>
        <v>6004</v>
      </c>
      <c r="H130" s="222" t="s">
        <v>1136</v>
      </c>
    </row>
    <row r="131" spans="1:8" ht="18.75" x14ac:dyDescent="0.3">
      <c r="A131" s="179" t="s">
        <v>650</v>
      </c>
      <c r="B131" s="90" t="s">
        <v>797</v>
      </c>
      <c r="C131" s="221" t="s">
        <v>505</v>
      </c>
      <c r="D131" s="91">
        <v>9000</v>
      </c>
      <c r="E131" s="91">
        <f>1498+1498+1498+1498</f>
        <v>5992</v>
      </c>
      <c r="F131" s="91"/>
      <c r="G131" s="149">
        <f t="shared" si="3"/>
        <v>3008</v>
      </c>
      <c r="H131" s="222" t="s">
        <v>1136</v>
      </c>
    </row>
    <row r="132" spans="1:8" ht="18.75" x14ac:dyDescent="0.3">
      <c r="A132" s="179" t="s">
        <v>851</v>
      </c>
      <c r="B132" s="90" t="s">
        <v>854</v>
      </c>
      <c r="C132" s="221" t="s">
        <v>506</v>
      </c>
      <c r="D132" s="91">
        <v>12000</v>
      </c>
      <c r="E132" s="91">
        <f>1808.3+1808.3+1808.3+1808.3</f>
        <v>7233.2</v>
      </c>
      <c r="F132" s="91"/>
      <c r="G132" s="149">
        <f t="shared" si="3"/>
        <v>4766.8</v>
      </c>
      <c r="H132" s="222" t="s">
        <v>1136</v>
      </c>
    </row>
    <row r="133" spans="1:8" ht="18.75" x14ac:dyDescent="0.3">
      <c r="A133" s="179" t="s">
        <v>851</v>
      </c>
      <c r="B133" s="90" t="s">
        <v>853</v>
      </c>
      <c r="C133" s="221" t="s">
        <v>507</v>
      </c>
      <c r="D133" s="91">
        <v>21000</v>
      </c>
      <c r="E133" s="91">
        <f>3424+3424+3424+3424</f>
        <v>13696</v>
      </c>
      <c r="F133" s="91"/>
      <c r="G133" s="149">
        <f t="shared" si="3"/>
        <v>7304</v>
      </c>
      <c r="H133" s="222" t="s">
        <v>1136</v>
      </c>
    </row>
    <row r="134" spans="1:8" ht="18.75" x14ac:dyDescent="0.3">
      <c r="A134" s="179" t="s">
        <v>650</v>
      </c>
      <c r="B134" s="90" t="s">
        <v>797</v>
      </c>
      <c r="C134" s="221" t="s">
        <v>99</v>
      </c>
      <c r="D134" s="91">
        <v>9000</v>
      </c>
      <c r="E134" s="91">
        <f>749+749+749+749</f>
        <v>2996</v>
      </c>
      <c r="F134" s="91"/>
      <c r="G134" s="149">
        <f t="shared" si="3"/>
        <v>6004</v>
      </c>
      <c r="H134" s="222" t="s">
        <v>1136</v>
      </c>
    </row>
    <row r="135" spans="1:8" ht="18.75" x14ac:dyDescent="0.3">
      <c r="A135" s="179"/>
      <c r="B135" s="90">
        <v>116</v>
      </c>
      <c r="C135" s="221" t="s">
        <v>508</v>
      </c>
      <c r="D135" s="91">
        <v>9000</v>
      </c>
      <c r="E135" s="91">
        <f>1369.6+1369.6+1369.6+1369.6</f>
        <v>5478.4</v>
      </c>
      <c r="F135" s="91"/>
      <c r="G135" s="149">
        <f t="shared" si="3"/>
        <v>3521.6000000000004</v>
      </c>
      <c r="H135" s="222" t="s">
        <v>1404</v>
      </c>
    </row>
    <row r="136" spans="1:8" ht="18.75" x14ac:dyDescent="0.3">
      <c r="A136" s="179" t="s">
        <v>793</v>
      </c>
      <c r="B136" s="90" t="s">
        <v>811</v>
      </c>
      <c r="C136" s="221" t="s">
        <v>88</v>
      </c>
      <c r="D136" s="91">
        <v>21000</v>
      </c>
      <c r="E136" s="91">
        <f>3498.9+3498.9+3498.9+3498.9</f>
        <v>13995.6</v>
      </c>
      <c r="F136" s="91"/>
      <c r="G136" s="149">
        <f t="shared" si="3"/>
        <v>7004.4</v>
      </c>
      <c r="H136" s="222" t="s">
        <v>1136</v>
      </c>
    </row>
    <row r="137" spans="1:8" ht="18.75" x14ac:dyDescent="0.3">
      <c r="A137" s="179" t="s">
        <v>650</v>
      </c>
      <c r="B137" s="90" t="s">
        <v>797</v>
      </c>
      <c r="C137" s="221" t="s">
        <v>60</v>
      </c>
      <c r="D137" s="91">
        <v>9000</v>
      </c>
      <c r="E137" s="91">
        <f>631.3+631.3+631.3+631.3</f>
        <v>2525.1999999999998</v>
      </c>
      <c r="F137" s="91"/>
      <c r="G137" s="149">
        <f t="shared" si="3"/>
        <v>6474.8</v>
      </c>
      <c r="H137" s="222" t="s">
        <v>1136</v>
      </c>
    </row>
    <row r="138" spans="1:8" ht="18.75" x14ac:dyDescent="0.3">
      <c r="A138" s="179" t="s">
        <v>885</v>
      </c>
      <c r="B138" s="90" t="s">
        <v>897</v>
      </c>
      <c r="C138" s="221" t="s">
        <v>509</v>
      </c>
      <c r="D138" s="91">
        <v>21000</v>
      </c>
      <c r="E138" s="91">
        <f>3424+3424+3424+3424</f>
        <v>13696</v>
      </c>
      <c r="F138" s="91"/>
      <c r="G138" s="149">
        <f t="shared" si="3"/>
        <v>7304</v>
      </c>
      <c r="H138" s="222" t="s">
        <v>1404</v>
      </c>
    </row>
    <row r="139" spans="1:8" ht="18.75" x14ac:dyDescent="0.3">
      <c r="A139" s="179" t="s">
        <v>650</v>
      </c>
      <c r="B139" s="90" t="s">
        <v>797</v>
      </c>
      <c r="C139" s="221" t="s">
        <v>510</v>
      </c>
      <c r="D139" s="91">
        <v>12000</v>
      </c>
      <c r="E139" s="91">
        <f>1926+1926+1926+1926</f>
        <v>7704</v>
      </c>
      <c r="F139" s="91"/>
      <c r="G139" s="149">
        <f t="shared" si="3"/>
        <v>4296</v>
      </c>
      <c r="H139" s="222" t="s">
        <v>1136</v>
      </c>
    </row>
    <row r="140" spans="1:8" ht="18.75" x14ac:dyDescent="0.3">
      <c r="A140" s="179"/>
      <c r="B140" s="90">
        <v>121</v>
      </c>
      <c r="C140" s="221" t="s">
        <v>511</v>
      </c>
      <c r="D140" s="91">
        <v>9000</v>
      </c>
      <c r="E140" s="91">
        <f>738.3+738.3+738.3+738.3</f>
        <v>2953.2</v>
      </c>
      <c r="F140" s="91"/>
      <c r="G140" s="149">
        <f t="shared" si="3"/>
        <v>6046.8</v>
      </c>
      <c r="H140" s="222" t="s">
        <v>1404</v>
      </c>
    </row>
    <row r="141" spans="1:8" ht="18.75" x14ac:dyDescent="0.3">
      <c r="A141" s="179" t="s">
        <v>650</v>
      </c>
      <c r="B141" s="90" t="s">
        <v>798</v>
      </c>
      <c r="C141" s="221" t="s">
        <v>100</v>
      </c>
      <c r="D141" s="91">
        <v>12000</v>
      </c>
      <c r="E141" s="91">
        <f>1476.6+1476.6+1476.6+1476.6</f>
        <v>5906.4</v>
      </c>
      <c r="F141" s="91"/>
      <c r="G141" s="149">
        <f t="shared" si="3"/>
        <v>6093.6</v>
      </c>
      <c r="H141" s="222" t="s">
        <v>1404</v>
      </c>
    </row>
    <row r="142" spans="1:8" ht="18.75" x14ac:dyDescent="0.3">
      <c r="A142" s="179" t="s">
        <v>1059</v>
      </c>
      <c r="B142" s="90" t="s">
        <v>797</v>
      </c>
      <c r="C142" s="221" t="s">
        <v>512</v>
      </c>
      <c r="D142" s="91">
        <v>9000</v>
      </c>
      <c r="E142" s="91">
        <f>952.3+952.3+952.3+952.3</f>
        <v>3809.2</v>
      </c>
      <c r="F142" s="91"/>
      <c r="G142" s="149">
        <f t="shared" si="3"/>
        <v>5190.8</v>
      </c>
      <c r="H142" s="222" t="s">
        <v>1404</v>
      </c>
    </row>
    <row r="143" spans="1:8" ht="18.75" x14ac:dyDescent="0.3">
      <c r="A143" s="179" t="s">
        <v>650</v>
      </c>
      <c r="B143" s="90" t="s">
        <v>798</v>
      </c>
      <c r="C143" s="221" t="s">
        <v>513</v>
      </c>
      <c r="D143" s="91">
        <v>9000</v>
      </c>
      <c r="E143" s="91">
        <f>1476.6+1476.6+1476.6+1476.6</f>
        <v>5906.4</v>
      </c>
      <c r="F143" s="91"/>
      <c r="G143" s="149">
        <f t="shared" si="3"/>
        <v>3093.6000000000004</v>
      </c>
      <c r="H143" s="222" t="s">
        <v>1404</v>
      </c>
    </row>
    <row r="144" spans="1:8" ht="18.75" x14ac:dyDescent="0.3">
      <c r="A144" s="179" t="s">
        <v>851</v>
      </c>
      <c r="B144" s="90" t="s">
        <v>852</v>
      </c>
      <c r="C144" s="397" t="s">
        <v>514</v>
      </c>
      <c r="D144" s="91">
        <v>9000</v>
      </c>
      <c r="E144" s="91">
        <f>1449.68+1498+1498+1498</f>
        <v>5943.68</v>
      </c>
      <c r="F144" s="91"/>
      <c r="G144" s="149">
        <f t="shared" si="3"/>
        <v>3056.3199999999997</v>
      </c>
      <c r="H144" s="222" t="s">
        <v>1404</v>
      </c>
    </row>
    <row r="145" spans="1:8" ht="18.75" x14ac:dyDescent="0.3">
      <c r="A145" s="179" t="s">
        <v>650</v>
      </c>
      <c r="B145" s="90" t="s">
        <v>798</v>
      </c>
      <c r="C145" s="221" t="s">
        <v>515</v>
      </c>
      <c r="D145" s="91">
        <v>12000</v>
      </c>
      <c r="E145" s="91">
        <f>1904.6+1904.6+1904.6+1904.6</f>
        <v>7618.4</v>
      </c>
      <c r="F145" s="91"/>
      <c r="G145" s="149">
        <f t="shared" si="3"/>
        <v>4381.6000000000004</v>
      </c>
      <c r="H145" s="222" t="s">
        <v>1404</v>
      </c>
    </row>
    <row r="146" spans="1:8" ht="18.75" x14ac:dyDescent="0.3">
      <c r="A146" s="179" t="s">
        <v>650</v>
      </c>
      <c r="B146" s="90" t="s">
        <v>798</v>
      </c>
      <c r="C146" s="221" t="s">
        <v>516</v>
      </c>
      <c r="D146" s="91">
        <v>9000</v>
      </c>
      <c r="E146" s="91">
        <f>952.3+952.3+952.3+952.3</f>
        <v>3809.2</v>
      </c>
      <c r="F146" s="91"/>
      <c r="G146" s="149">
        <f t="shared" si="3"/>
        <v>5190.8</v>
      </c>
      <c r="H146" s="222" t="s">
        <v>1404</v>
      </c>
    </row>
    <row r="147" spans="1:8" ht="18.75" x14ac:dyDescent="0.3">
      <c r="A147" s="179" t="s">
        <v>650</v>
      </c>
      <c r="B147" s="90" t="s">
        <v>797</v>
      </c>
      <c r="C147" s="221" t="s">
        <v>517</v>
      </c>
      <c r="D147" s="91">
        <v>9000</v>
      </c>
      <c r="E147" s="91">
        <f>1498+1498+1498+1498</f>
        <v>5992</v>
      </c>
      <c r="F147" s="91"/>
      <c r="G147" s="149">
        <f t="shared" si="3"/>
        <v>3008</v>
      </c>
      <c r="H147" s="222" t="s">
        <v>1136</v>
      </c>
    </row>
    <row r="148" spans="1:8" ht="18.75" x14ac:dyDescent="0.3">
      <c r="A148" s="179" t="s">
        <v>650</v>
      </c>
      <c r="B148" s="90" t="s">
        <v>797</v>
      </c>
      <c r="C148" s="221" t="s">
        <v>518</v>
      </c>
      <c r="D148" s="91">
        <v>9000</v>
      </c>
      <c r="E148" s="91">
        <f>1498+1498+1498+1498</f>
        <v>5992</v>
      </c>
      <c r="F148" s="91"/>
      <c r="G148" s="149">
        <f t="shared" si="3"/>
        <v>3008</v>
      </c>
      <c r="H148" s="222" t="s">
        <v>1136</v>
      </c>
    </row>
    <row r="149" spans="1:8" ht="18.75" x14ac:dyDescent="0.3">
      <c r="A149" s="179" t="s">
        <v>650</v>
      </c>
      <c r="B149" s="90" t="s">
        <v>797</v>
      </c>
      <c r="C149" s="221" t="s">
        <v>519</v>
      </c>
      <c r="D149" s="91">
        <v>9000</v>
      </c>
      <c r="E149" s="91">
        <f>1498+1498+1498+1498</f>
        <v>5992</v>
      </c>
      <c r="F149" s="91"/>
      <c r="G149" s="149">
        <f t="shared" ref="G149:G212" si="4">D149-E149</f>
        <v>3008</v>
      </c>
      <c r="H149" s="222" t="s">
        <v>1136</v>
      </c>
    </row>
    <row r="150" spans="1:8" ht="18.75" x14ac:dyDescent="0.3">
      <c r="A150" s="179" t="s">
        <v>1059</v>
      </c>
      <c r="B150" s="90" t="s">
        <v>798</v>
      </c>
      <c r="C150" s="221" t="s">
        <v>520</v>
      </c>
      <c r="D150" s="91">
        <v>12000</v>
      </c>
      <c r="E150" s="91">
        <f>909.5+909.5+909.5+909.5</f>
        <v>3638</v>
      </c>
      <c r="F150" s="91"/>
      <c r="G150" s="149">
        <f t="shared" si="4"/>
        <v>8362</v>
      </c>
      <c r="H150" s="222" t="s">
        <v>1404</v>
      </c>
    </row>
    <row r="151" spans="1:8" ht="18.75" x14ac:dyDescent="0.3">
      <c r="A151" s="179" t="s">
        <v>650</v>
      </c>
      <c r="B151" s="90" t="s">
        <v>797</v>
      </c>
      <c r="C151" s="221" t="s">
        <v>521</v>
      </c>
      <c r="D151" s="91">
        <v>12000</v>
      </c>
      <c r="E151" s="91">
        <f>1926+1926+1926+1926</f>
        <v>7704</v>
      </c>
      <c r="F151" s="91"/>
      <c r="G151" s="149">
        <f t="shared" si="4"/>
        <v>4296</v>
      </c>
      <c r="H151" s="222" t="s">
        <v>1136</v>
      </c>
    </row>
    <row r="152" spans="1:8" ht="18.75" x14ac:dyDescent="0.3">
      <c r="A152" s="179" t="s">
        <v>650</v>
      </c>
      <c r="B152" s="90" t="s">
        <v>798</v>
      </c>
      <c r="C152" s="221" t="s">
        <v>522</v>
      </c>
      <c r="D152" s="91">
        <v>9000</v>
      </c>
      <c r="E152" s="91">
        <f>952.3+952.3+952.3+952.3</f>
        <v>3809.2</v>
      </c>
      <c r="F152" s="91"/>
      <c r="G152" s="149">
        <f t="shared" si="4"/>
        <v>5190.8</v>
      </c>
      <c r="H152" s="222" t="s">
        <v>1404</v>
      </c>
    </row>
    <row r="153" spans="1:8" ht="18.75" x14ac:dyDescent="0.3">
      <c r="A153" s="179" t="s">
        <v>650</v>
      </c>
      <c r="B153" s="90" t="s">
        <v>798</v>
      </c>
      <c r="C153" s="221" t="s">
        <v>523</v>
      </c>
      <c r="D153" s="91">
        <v>9000</v>
      </c>
      <c r="E153" s="91">
        <f>1476.6+1476.6+1476.6+1476.6</f>
        <v>5906.4</v>
      </c>
      <c r="F153" s="91"/>
      <c r="G153" s="149">
        <f t="shared" si="4"/>
        <v>3093.6000000000004</v>
      </c>
      <c r="H153" s="222" t="s">
        <v>1404</v>
      </c>
    </row>
    <row r="154" spans="1:8" ht="18.75" x14ac:dyDescent="0.3">
      <c r="A154" s="179" t="s">
        <v>793</v>
      </c>
      <c r="B154" s="90" t="s">
        <v>809</v>
      </c>
      <c r="C154" s="221" t="s">
        <v>524</v>
      </c>
      <c r="D154" s="91">
        <v>9000</v>
      </c>
      <c r="E154" s="91">
        <f>1389.93+1389.93+1389.93+1389.93</f>
        <v>5559.72</v>
      </c>
      <c r="F154" s="91"/>
      <c r="G154" s="149">
        <f t="shared" si="4"/>
        <v>3440.2799999999997</v>
      </c>
      <c r="H154" s="222" t="s">
        <v>1136</v>
      </c>
    </row>
    <row r="155" spans="1:8" ht="18.75" x14ac:dyDescent="0.3">
      <c r="A155" s="179" t="s">
        <v>650</v>
      </c>
      <c r="B155" s="90" t="s">
        <v>797</v>
      </c>
      <c r="C155" s="221" t="s">
        <v>525</v>
      </c>
      <c r="D155" s="91">
        <v>9000</v>
      </c>
      <c r="E155" s="91">
        <f>1498+1498+1498+1498</f>
        <v>5992</v>
      </c>
      <c r="F155" s="91"/>
      <c r="G155" s="149">
        <f t="shared" si="4"/>
        <v>3008</v>
      </c>
      <c r="H155" s="222" t="s">
        <v>1136</v>
      </c>
    </row>
    <row r="156" spans="1:8" ht="18.75" x14ac:dyDescent="0.3">
      <c r="A156" s="179" t="s">
        <v>650</v>
      </c>
      <c r="B156" s="90" t="s">
        <v>797</v>
      </c>
      <c r="C156" s="221" t="s">
        <v>526</v>
      </c>
      <c r="D156" s="91">
        <v>12000</v>
      </c>
      <c r="E156" s="91">
        <f>1498+1498+1498+1498</f>
        <v>5992</v>
      </c>
      <c r="F156" s="91"/>
      <c r="G156" s="149">
        <f t="shared" si="4"/>
        <v>6008</v>
      </c>
      <c r="H156" s="222" t="s">
        <v>1136</v>
      </c>
    </row>
    <row r="157" spans="1:8" ht="18.75" x14ac:dyDescent="0.3">
      <c r="A157" s="179" t="s">
        <v>650</v>
      </c>
      <c r="B157" s="90" t="s">
        <v>796</v>
      </c>
      <c r="C157" s="221" t="s">
        <v>57</v>
      </c>
      <c r="D157" s="91">
        <v>12000</v>
      </c>
      <c r="E157" s="91">
        <f>1808.3+1808.3+1808.3+1808.3</f>
        <v>7233.2</v>
      </c>
      <c r="F157" s="91"/>
      <c r="G157" s="149">
        <f t="shared" si="4"/>
        <v>4766.8</v>
      </c>
      <c r="H157" s="222" t="s">
        <v>1404</v>
      </c>
    </row>
    <row r="158" spans="1:8" ht="18.75" x14ac:dyDescent="0.3">
      <c r="A158" s="179" t="s">
        <v>650</v>
      </c>
      <c r="B158" s="90" t="s">
        <v>797</v>
      </c>
      <c r="C158" s="221" t="s">
        <v>89</v>
      </c>
      <c r="D158" s="91">
        <v>9000</v>
      </c>
      <c r="E158" s="91">
        <f>1498+1498+1498+1498</f>
        <v>5992</v>
      </c>
      <c r="F158" s="91"/>
      <c r="G158" s="149">
        <f t="shared" si="4"/>
        <v>3008</v>
      </c>
      <c r="H158" s="222" t="s">
        <v>1404</v>
      </c>
    </row>
    <row r="159" spans="1:8" ht="18.75" x14ac:dyDescent="0.3">
      <c r="A159" s="179" t="s">
        <v>793</v>
      </c>
      <c r="B159" s="90" t="s">
        <v>811</v>
      </c>
      <c r="C159" s="221" t="s">
        <v>527</v>
      </c>
      <c r="D159" s="91">
        <v>9000</v>
      </c>
      <c r="E159" s="91">
        <f>1498+1498+1498+1498</f>
        <v>5992</v>
      </c>
      <c r="F159" s="91"/>
      <c r="G159" s="149">
        <f t="shared" si="4"/>
        <v>3008</v>
      </c>
      <c r="H159" s="222" t="s">
        <v>1136</v>
      </c>
    </row>
    <row r="160" spans="1:8" ht="18.75" x14ac:dyDescent="0.3">
      <c r="A160" s="179" t="s">
        <v>851</v>
      </c>
      <c r="B160" s="90">
        <v>70</v>
      </c>
      <c r="C160" s="221" t="s">
        <v>528</v>
      </c>
      <c r="D160" s="91">
        <v>12000</v>
      </c>
      <c r="E160" s="91">
        <f>1498+1498+1498+1498</f>
        <v>5992</v>
      </c>
      <c r="F160" s="91"/>
      <c r="G160" s="149">
        <f t="shared" si="4"/>
        <v>6008</v>
      </c>
      <c r="H160" s="222" t="s">
        <v>1404</v>
      </c>
    </row>
    <row r="161" spans="1:8" ht="18.75" x14ac:dyDescent="0.3">
      <c r="A161" s="179" t="s">
        <v>650</v>
      </c>
      <c r="B161" s="90" t="s">
        <v>796</v>
      </c>
      <c r="C161" s="221" t="s">
        <v>66</v>
      </c>
      <c r="D161" s="91">
        <v>12000</v>
      </c>
      <c r="E161" s="91">
        <f>1808.3+1808.3+1808.3+1808.3</f>
        <v>7233.2</v>
      </c>
      <c r="F161" s="91"/>
      <c r="G161" s="149">
        <f t="shared" si="4"/>
        <v>4766.8</v>
      </c>
      <c r="H161" s="222" t="s">
        <v>1259</v>
      </c>
    </row>
    <row r="162" spans="1:8" ht="18.75" x14ac:dyDescent="0.3">
      <c r="A162" s="179" t="s">
        <v>650</v>
      </c>
      <c r="B162" s="90" t="s">
        <v>796</v>
      </c>
      <c r="C162" s="221" t="s">
        <v>529</v>
      </c>
      <c r="D162" s="91">
        <v>9000</v>
      </c>
      <c r="E162" s="91">
        <f>1498+1498+1498+1498</f>
        <v>5992</v>
      </c>
      <c r="F162" s="91"/>
      <c r="G162" s="149">
        <f t="shared" si="4"/>
        <v>3008</v>
      </c>
      <c r="H162" s="222" t="s">
        <v>1259</v>
      </c>
    </row>
    <row r="163" spans="1:8" x14ac:dyDescent="0.3">
      <c r="A163" s="179" t="s">
        <v>1019</v>
      </c>
      <c r="B163" s="90" t="s">
        <v>1042</v>
      </c>
      <c r="C163" s="224" t="s">
        <v>530</v>
      </c>
      <c r="D163" s="91">
        <v>12000</v>
      </c>
      <c r="E163" s="91">
        <f>1600+1600+1600</f>
        <v>4800</v>
      </c>
      <c r="F163" s="91"/>
      <c r="G163" s="149">
        <f t="shared" si="4"/>
        <v>7200</v>
      </c>
      <c r="H163" s="222" t="s">
        <v>1260</v>
      </c>
    </row>
    <row r="164" spans="1:8" ht="18.75" x14ac:dyDescent="0.3">
      <c r="A164" s="179" t="s">
        <v>650</v>
      </c>
      <c r="B164" s="90" t="s">
        <v>798</v>
      </c>
      <c r="C164" s="221" t="s">
        <v>531</v>
      </c>
      <c r="D164" s="91">
        <v>21000</v>
      </c>
      <c r="E164" s="91">
        <f>738.3+738.3+738.3+738.3</f>
        <v>2953.2</v>
      </c>
      <c r="F164" s="91"/>
      <c r="G164" s="149">
        <f t="shared" si="4"/>
        <v>18046.8</v>
      </c>
      <c r="H164" s="222" t="s">
        <v>1405</v>
      </c>
    </row>
    <row r="165" spans="1:8" ht="18.75" x14ac:dyDescent="0.3">
      <c r="A165" s="179" t="s">
        <v>851</v>
      </c>
      <c r="B165" s="90" t="s">
        <v>853</v>
      </c>
      <c r="C165" s="221" t="s">
        <v>532</v>
      </c>
      <c r="D165" s="91">
        <v>12000</v>
      </c>
      <c r="E165" s="91">
        <f>749+749+749+749</f>
        <v>2996</v>
      </c>
      <c r="F165" s="91"/>
      <c r="G165" s="149">
        <f t="shared" si="4"/>
        <v>9004</v>
      </c>
      <c r="H165" s="222" t="s">
        <v>1259</v>
      </c>
    </row>
    <row r="166" spans="1:8" ht="18.75" x14ac:dyDescent="0.3">
      <c r="A166" s="179" t="s">
        <v>1019</v>
      </c>
      <c r="B166" s="90" t="s">
        <v>1041</v>
      </c>
      <c r="C166" s="398" t="s">
        <v>533</v>
      </c>
      <c r="D166" s="91">
        <v>12000</v>
      </c>
      <c r="E166" s="91">
        <f>1836.26+1904.6+1904.6+1904.6</f>
        <v>7550.0599999999995</v>
      </c>
      <c r="F166" s="91"/>
      <c r="G166" s="149">
        <f t="shared" si="4"/>
        <v>4449.9400000000005</v>
      </c>
      <c r="H166" s="222" t="s">
        <v>1405</v>
      </c>
    </row>
    <row r="167" spans="1:8" ht="18.75" x14ac:dyDescent="0.3">
      <c r="A167" s="179" t="s">
        <v>650</v>
      </c>
      <c r="B167" s="90" t="s">
        <v>798</v>
      </c>
      <c r="C167" s="221" t="s">
        <v>58</v>
      </c>
      <c r="D167" s="91">
        <v>9000</v>
      </c>
      <c r="E167" s="91">
        <f>952.3+952.3+952.3+952.3</f>
        <v>3809.2</v>
      </c>
      <c r="F167" s="91"/>
      <c r="G167" s="149">
        <f t="shared" si="4"/>
        <v>5190.8</v>
      </c>
      <c r="H167" s="222" t="s">
        <v>1404</v>
      </c>
    </row>
    <row r="168" spans="1:8" ht="18.75" x14ac:dyDescent="0.3">
      <c r="A168" s="179" t="s">
        <v>1059</v>
      </c>
      <c r="B168" s="90">
        <v>149</v>
      </c>
      <c r="C168" s="221" t="s">
        <v>534</v>
      </c>
      <c r="D168" s="91">
        <v>9000</v>
      </c>
      <c r="E168" s="91">
        <f>1476.6+1476.6+1476.6+1476.6</f>
        <v>5906.4</v>
      </c>
      <c r="F168" s="91"/>
      <c r="G168" s="149">
        <f t="shared" si="4"/>
        <v>3093.6000000000004</v>
      </c>
      <c r="H168" s="222" t="s">
        <v>1404</v>
      </c>
    </row>
    <row r="169" spans="1:8" ht="18.75" x14ac:dyDescent="0.3">
      <c r="A169" s="179"/>
      <c r="B169" s="90">
        <v>150</v>
      </c>
      <c r="C169" s="221" t="s">
        <v>535</v>
      </c>
      <c r="D169" s="91">
        <v>9000</v>
      </c>
      <c r="E169" s="91">
        <f>952.3+952.3+952.3+952.3</f>
        <v>3809.2</v>
      </c>
      <c r="F169" s="91"/>
      <c r="G169" s="149">
        <f t="shared" si="4"/>
        <v>5190.8</v>
      </c>
      <c r="H169" s="222" t="s">
        <v>1404</v>
      </c>
    </row>
    <row r="170" spans="1:8" ht="18.75" x14ac:dyDescent="0.3">
      <c r="A170" s="179" t="s">
        <v>650</v>
      </c>
      <c r="B170" s="90" t="s">
        <v>798</v>
      </c>
      <c r="C170" s="221" t="s">
        <v>465</v>
      </c>
      <c r="D170" s="91">
        <v>9000</v>
      </c>
      <c r="E170" s="91">
        <f>952.3+952.3+952.3+952.3</f>
        <v>3809.2</v>
      </c>
      <c r="F170" s="91"/>
      <c r="G170" s="149">
        <f t="shared" si="4"/>
        <v>5190.8</v>
      </c>
      <c r="H170" s="222" t="s">
        <v>1404</v>
      </c>
    </row>
    <row r="171" spans="1:8" ht="18.75" x14ac:dyDescent="0.3">
      <c r="A171" s="179" t="s">
        <v>650</v>
      </c>
      <c r="B171" s="90" t="s">
        <v>797</v>
      </c>
      <c r="C171" s="221" t="s">
        <v>536</v>
      </c>
      <c r="D171" s="91">
        <v>12000</v>
      </c>
      <c r="E171" s="91">
        <f>1926+1926+1926+1926</f>
        <v>7704</v>
      </c>
      <c r="F171" s="91"/>
      <c r="G171" s="149">
        <f t="shared" si="4"/>
        <v>4296</v>
      </c>
      <c r="H171" s="222" t="s">
        <v>1136</v>
      </c>
    </row>
    <row r="172" spans="1:8" ht="18.75" x14ac:dyDescent="0.3">
      <c r="A172" s="179" t="s">
        <v>650</v>
      </c>
      <c r="B172" s="90" t="s">
        <v>796</v>
      </c>
      <c r="C172" s="221" t="s">
        <v>56</v>
      </c>
      <c r="D172" s="91">
        <v>12000</v>
      </c>
      <c r="E172" s="91">
        <f>1808.3+1808.3+1808.3+1808.3</f>
        <v>7233.2</v>
      </c>
      <c r="F172" s="91"/>
      <c r="G172" s="149">
        <f t="shared" si="4"/>
        <v>4766.8</v>
      </c>
      <c r="H172" s="222" t="s">
        <v>1259</v>
      </c>
    </row>
    <row r="173" spans="1:8" ht="18.75" x14ac:dyDescent="0.3">
      <c r="A173" s="179" t="s">
        <v>650</v>
      </c>
      <c r="B173" s="90" t="s">
        <v>796</v>
      </c>
      <c r="C173" s="221" t="s">
        <v>537</v>
      </c>
      <c r="D173" s="91">
        <v>21000</v>
      </c>
      <c r="E173" s="91">
        <f>3498.9+3498.9+3498.9+3498.9</f>
        <v>13995.6</v>
      </c>
      <c r="F173" s="91"/>
      <c r="G173" s="149">
        <f t="shared" si="4"/>
        <v>7004.4</v>
      </c>
      <c r="H173" s="222" t="s">
        <v>1259</v>
      </c>
    </row>
    <row r="174" spans="1:8" ht="18.75" x14ac:dyDescent="0.3">
      <c r="A174" s="179" t="s">
        <v>851</v>
      </c>
      <c r="B174" s="90" t="s">
        <v>854</v>
      </c>
      <c r="C174" s="221" t="s">
        <v>538</v>
      </c>
      <c r="D174" s="91">
        <v>30000</v>
      </c>
      <c r="E174" s="91">
        <f>4815+4815+4815+4815</f>
        <v>19260</v>
      </c>
      <c r="F174" s="91"/>
      <c r="G174" s="149">
        <f t="shared" si="4"/>
        <v>10740</v>
      </c>
      <c r="H174" s="222" t="s">
        <v>1136</v>
      </c>
    </row>
    <row r="175" spans="1:8" ht="18.75" x14ac:dyDescent="0.3">
      <c r="A175" s="179" t="s">
        <v>650</v>
      </c>
      <c r="B175" s="90" t="s">
        <v>798</v>
      </c>
      <c r="C175" s="221" t="s">
        <v>539</v>
      </c>
      <c r="D175" s="91">
        <v>9000</v>
      </c>
      <c r="E175" s="91">
        <f>952.3+952.3+952.3+952.3</f>
        <v>3809.2</v>
      </c>
      <c r="F175" s="91"/>
      <c r="G175" s="149">
        <f t="shared" si="4"/>
        <v>5190.8</v>
      </c>
      <c r="H175" s="222" t="s">
        <v>1404</v>
      </c>
    </row>
    <row r="176" spans="1:8" ht="18.75" x14ac:dyDescent="0.3">
      <c r="A176" s="179"/>
      <c r="B176" s="90">
        <v>157</v>
      </c>
      <c r="C176" s="221" t="s">
        <v>540</v>
      </c>
      <c r="D176" s="91">
        <v>9000</v>
      </c>
      <c r="E176" s="91">
        <f>738.3+738.3+738.3+738.3</f>
        <v>2953.2</v>
      </c>
      <c r="F176" s="91"/>
      <c r="G176" s="149">
        <f t="shared" si="4"/>
        <v>6046.8</v>
      </c>
      <c r="H176" s="222" t="s">
        <v>1404</v>
      </c>
    </row>
    <row r="177" spans="1:8" ht="18.75" x14ac:dyDescent="0.3">
      <c r="A177" s="179" t="s">
        <v>650</v>
      </c>
      <c r="B177" s="90" t="s">
        <v>796</v>
      </c>
      <c r="C177" s="221" t="s">
        <v>541</v>
      </c>
      <c r="D177" s="91">
        <v>21000</v>
      </c>
      <c r="E177" s="91">
        <f>3000+3000+3000+3000</f>
        <v>12000</v>
      </c>
      <c r="F177" s="91"/>
      <c r="G177" s="149">
        <f t="shared" si="4"/>
        <v>9000</v>
      </c>
      <c r="H177" s="222" t="s">
        <v>1259</v>
      </c>
    </row>
    <row r="178" spans="1:8" ht="18.75" x14ac:dyDescent="0.3">
      <c r="A178" s="179" t="s">
        <v>650</v>
      </c>
      <c r="B178" s="90" t="s">
        <v>798</v>
      </c>
      <c r="C178" s="221" t="s">
        <v>542</v>
      </c>
      <c r="D178" s="91">
        <v>9000</v>
      </c>
      <c r="E178" s="91">
        <f>1166.3+1166.3+1166.3+1166.3</f>
        <v>4665.2</v>
      </c>
      <c r="F178" s="91"/>
      <c r="G178" s="149">
        <f t="shared" si="4"/>
        <v>4334.8</v>
      </c>
      <c r="H178" s="222" t="s">
        <v>1405</v>
      </c>
    </row>
    <row r="179" spans="1:8" ht="18.75" x14ac:dyDescent="0.3">
      <c r="A179" s="179" t="s">
        <v>793</v>
      </c>
      <c r="B179" s="90" t="s">
        <v>812</v>
      </c>
      <c r="C179" s="221" t="s">
        <v>64</v>
      </c>
      <c r="D179" s="91">
        <v>9000</v>
      </c>
      <c r="E179" s="91">
        <f>1498+1498+1498+1498</f>
        <v>5992</v>
      </c>
      <c r="F179" s="91"/>
      <c r="G179" s="149">
        <f t="shared" si="4"/>
        <v>3008</v>
      </c>
      <c r="H179" s="222" t="s">
        <v>1259</v>
      </c>
    </row>
    <row r="180" spans="1:8" ht="18.75" x14ac:dyDescent="0.3">
      <c r="A180" s="179" t="s">
        <v>650</v>
      </c>
      <c r="B180" s="90" t="s">
        <v>796</v>
      </c>
      <c r="C180" s="221" t="s">
        <v>77</v>
      </c>
      <c r="D180" s="91">
        <v>12000</v>
      </c>
      <c r="E180" s="91">
        <f>2000+2000+2000+2000</f>
        <v>8000</v>
      </c>
      <c r="F180" s="91"/>
      <c r="G180" s="149">
        <f t="shared" si="4"/>
        <v>4000</v>
      </c>
      <c r="H180" s="222" t="s">
        <v>1259</v>
      </c>
    </row>
    <row r="181" spans="1:8" ht="18.75" x14ac:dyDescent="0.3">
      <c r="A181" s="179" t="s">
        <v>650</v>
      </c>
      <c r="B181" s="90" t="s">
        <v>798</v>
      </c>
      <c r="C181" s="221" t="s">
        <v>103</v>
      </c>
      <c r="D181" s="91">
        <v>9000</v>
      </c>
      <c r="E181" s="91">
        <f>1476.6+1476.6+1476.6+1476.6</f>
        <v>5906.4</v>
      </c>
      <c r="F181" s="91"/>
      <c r="G181" s="149">
        <f t="shared" si="4"/>
        <v>3093.6000000000004</v>
      </c>
      <c r="H181" s="222" t="s">
        <v>1405</v>
      </c>
    </row>
    <row r="182" spans="1:8" ht="18.75" x14ac:dyDescent="0.3">
      <c r="A182" s="179" t="s">
        <v>885</v>
      </c>
      <c r="B182" s="90" t="s">
        <v>897</v>
      </c>
      <c r="C182" s="221" t="s">
        <v>543</v>
      </c>
      <c r="D182" s="91">
        <v>9000</v>
      </c>
      <c r="E182" s="91">
        <f>1498+1498+1498+1498</f>
        <v>5992</v>
      </c>
      <c r="F182" s="91"/>
      <c r="G182" s="149">
        <f t="shared" si="4"/>
        <v>3008</v>
      </c>
      <c r="H182" s="222" t="s">
        <v>1259</v>
      </c>
    </row>
    <row r="183" spans="1:8" ht="18.75" x14ac:dyDescent="0.3">
      <c r="A183" s="179" t="s">
        <v>650</v>
      </c>
      <c r="B183" s="90" t="s">
        <v>798</v>
      </c>
      <c r="C183" s="221" t="s">
        <v>544</v>
      </c>
      <c r="D183" s="91">
        <v>9000</v>
      </c>
      <c r="E183" s="91">
        <f>1476.6+1476.6+1476.6+1476.6</f>
        <v>5906.4</v>
      </c>
      <c r="F183" s="91"/>
      <c r="G183" s="149">
        <f t="shared" si="4"/>
        <v>3093.6000000000004</v>
      </c>
      <c r="H183" s="222" t="s">
        <v>1405</v>
      </c>
    </row>
    <row r="184" spans="1:8" ht="18.75" x14ac:dyDescent="0.3">
      <c r="A184" s="179" t="s">
        <v>793</v>
      </c>
      <c r="B184" s="90" t="s">
        <v>812</v>
      </c>
      <c r="C184" s="221" t="s">
        <v>545</v>
      </c>
      <c r="D184" s="91">
        <v>9000</v>
      </c>
      <c r="E184" s="91">
        <f>749+749+749+749</f>
        <v>2996</v>
      </c>
      <c r="F184" s="91"/>
      <c r="G184" s="149">
        <f t="shared" si="4"/>
        <v>6004</v>
      </c>
      <c r="H184" s="222" t="s">
        <v>1404</v>
      </c>
    </row>
    <row r="185" spans="1:8" ht="18.75" x14ac:dyDescent="0.3">
      <c r="A185" s="179" t="s">
        <v>864</v>
      </c>
      <c r="B185" s="90" t="s">
        <v>884</v>
      </c>
      <c r="C185" s="221" t="s">
        <v>546</v>
      </c>
      <c r="D185" s="91">
        <v>9000</v>
      </c>
      <c r="E185" s="91">
        <f>749+749+749+749</f>
        <v>2996</v>
      </c>
      <c r="F185" s="91"/>
      <c r="G185" s="149">
        <f t="shared" si="4"/>
        <v>6004</v>
      </c>
      <c r="H185" s="222" t="s">
        <v>1136</v>
      </c>
    </row>
    <row r="186" spans="1:8" ht="18.75" x14ac:dyDescent="0.3">
      <c r="A186" s="179" t="s">
        <v>650</v>
      </c>
      <c r="B186" s="90" t="s">
        <v>798</v>
      </c>
      <c r="C186" s="221" t="s">
        <v>79</v>
      </c>
      <c r="D186" s="91">
        <v>12000</v>
      </c>
      <c r="E186" s="91">
        <f>1893.9+1893.9+1893.9+1893.9</f>
        <v>7575.6</v>
      </c>
      <c r="F186" s="91"/>
      <c r="G186" s="149">
        <f t="shared" si="4"/>
        <v>4424.3999999999996</v>
      </c>
      <c r="H186" s="222" t="s">
        <v>1404</v>
      </c>
    </row>
    <row r="187" spans="1:8" ht="18.75" x14ac:dyDescent="0.3">
      <c r="A187" s="179"/>
      <c r="B187" s="90">
        <v>168</v>
      </c>
      <c r="C187" s="389" t="s">
        <v>63</v>
      </c>
      <c r="D187" s="390">
        <v>9000</v>
      </c>
      <c r="E187" s="390"/>
      <c r="F187" s="390"/>
      <c r="G187" s="391">
        <f t="shared" si="4"/>
        <v>9000</v>
      </c>
      <c r="H187" s="392" t="s">
        <v>564</v>
      </c>
    </row>
    <row r="188" spans="1:8" x14ac:dyDescent="0.3">
      <c r="A188" s="179" t="s">
        <v>650</v>
      </c>
      <c r="B188" s="90" t="s">
        <v>796</v>
      </c>
      <c r="C188" s="225" t="s">
        <v>547</v>
      </c>
      <c r="D188" s="91">
        <v>30000</v>
      </c>
      <c r="E188" s="91">
        <f>4675.9+4675.9+4675.9+4675.9</f>
        <v>18703.599999999999</v>
      </c>
      <c r="F188" s="91"/>
      <c r="G188" s="149">
        <f t="shared" si="4"/>
        <v>11296.400000000001</v>
      </c>
      <c r="H188" s="222" t="s">
        <v>1259</v>
      </c>
    </row>
    <row r="189" spans="1:8" ht="18.75" x14ac:dyDescent="0.3">
      <c r="A189" s="179" t="s">
        <v>650</v>
      </c>
      <c r="B189" s="90" t="s">
        <v>796</v>
      </c>
      <c r="C189" s="221" t="s">
        <v>548</v>
      </c>
      <c r="D189" s="91">
        <v>9000</v>
      </c>
      <c r="E189" s="91">
        <f>1500+1500+1500+1500</f>
        <v>6000</v>
      </c>
      <c r="F189" s="91"/>
      <c r="G189" s="149">
        <f t="shared" si="4"/>
        <v>3000</v>
      </c>
      <c r="H189" s="222" t="s">
        <v>1259</v>
      </c>
    </row>
    <row r="190" spans="1:8" ht="18.75" x14ac:dyDescent="0.3">
      <c r="A190" s="179"/>
      <c r="B190" s="90">
        <v>171</v>
      </c>
      <c r="C190" s="389" t="s">
        <v>549</v>
      </c>
      <c r="D190" s="390">
        <v>9000</v>
      </c>
      <c r="E190" s="390"/>
      <c r="F190" s="390"/>
      <c r="G190" s="391">
        <f t="shared" si="4"/>
        <v>9000</v>
      </c>
      <c r="H190" s="392" t="s">
        <v>564</v>
      </c>
    </row>
    <row r="191" spans="1:8" ht="18.75" x14ac:dyDescent="0.3">
      <c r="A191" s="179" t="s">
        <v>650</v>
      </c>
      <c r="B191" s="90" t="s">
        <v>797</v>
      </c>
      <c r="C191" s="221" t="s">
        <v>62</v>
      </c>
      <c r="D191" s="91">
        <v>9000</v>
      </c>
      <c r="E191" s="91">
        <f>1498+1498+1498+1498</f>
        <v>5992</v>
      </c>
      <c r="F191" s="91"/>
      <c r="G191" s="149">
        <f t="shared" si="4"/>
        <v>3008</v>
      </c>
      <c r="H191" s="222" t="s">
        <v>1259</v>
      </c>
    </row>
    <row r="192" spans="1:8" ht="18.75" x14ac:dyDescent="0.3">
      <c r="A192" s="179" t="s">
        <v>793</v>
      </c>
      <c r="B192" s="90" t="s">
        <v>813</v>
      </c>
      <c r="C192" s="221" t="s">
        <v>76</v>
      </c>
      <c r="D192" s="91">
        <v>9000</v>
      </c>
      <c r="E192" s="91">
        <f>1476.6+1476.6+1476.6+1476.6</f>
        <v>5906.4</v>
      </c>
      <c r="F192" s="91"/>
      <c r="G192" s="149">
        <f t="shared" si="4"/>
        <v>3093.6000000000004</v>
      </c>
      <c r="H192" s="222" t="s">
        <v>1405</v>
      </c>
    </row>
    <row r="193" spans="1:8" ht="18.75" x14ac:dyDescent="0.3">
      <c r="A193" s="179" t="s">
        <v>650</v>
      </c>
      <c r="B193" s="90" t="s">
        <v>796</v>
      </c>
      <c r="C193" s="221" t="s">
        <v>550</v>
      </c>
      <c r="D193" s="91">
        <v>21000</v>
      </c>
      <c r="E193" s="91">
        <f>3317+3317+3317+3317</f>
        <v>13268</v>
      </c>
      <c r="F193" s="91"/>
      <c r="G193" s="149">
        <f t="shared" si="4"/>
        <v>7732</v>
      </c>
      <c r="H193" s="222" t="s">
        <v>1259</v>
      </c>
    </row>
    <row r="194" spans="1:8" ht="18.75" x14ac:dyDescent="0.3">
      <c r="A194" s="179"/>
      <c r="B194" s="90">
        <v>175</v>
      </c>
      <c r="C194" s="221" t="s">
        <v>551</v>
      </c>
      <c r="D194" s="91">
        <v>9000</v>
      </c>
      <c r="E194" s="91">
        <f>1476.6+1476.6+1476.6+1476.6</f>
        <v>5906.4</v>
      </c>
      <c r="F194" s="91"/>
      <c r="G194" s="149">
        <f t="shared" si="4"/>
        <v>3093.6000000000004</v>
      </c>
      <c r="H194" s="222" t="s">
        <v>1405</v>
      </c>
    </row>
    <row r="195" spans="1:8" ht="18.75" x14ac:dyDescent="0.3">
      <c r="A195" s="179" t="s">
        <v>793</v>
      </c>
      <c r="B195" s="90" t="s">
        <v>812</v>
      </c>
      <c r="C195" s="221" t="s">
        <v>552</v>
      </c>
      <c r="D195" s="91">
        <v>9000</v>
      </c>
      <c r="E195" s="91">
        <f>1498+1498+1498+1498</f>
        <v>5992</v>
      </c>
      <c r="F195" s="91"/>
      <c r="G195" s="149">
        <f t="shared" si="4"/>
        <v>3008</v>
      </c>
      <c r="H195" s="222" t="s">
        <v>1259</v>
      </c>
    </row>
    <row r="196" spans="1:8" ht="18.75" x14ac:dyDescent="0.3">
      <c r="A196" s="179" t="s">
        <v>650</v>
      </c>
      <c r="B196" s="90" t="s">
        <v>796</v>
      </c>
      <c r="C196" s="221" t="s">
        <v>553</v>
      </c>
      <c r="D196" s="91">
        <v>12000</v>
      </c>
      <c r="E196" s="91">
        <f>1808.3+1808.3+1808.3+1808.3</f>
        <v>7233.2</v>
      </c>
      <c r="F196" s="91"/>
      <c r="G196" s="149">
        <f t="shared" si="4"/>
        <v>4766.8</v>
      </c>
      <c r="H196" s="222" t="s">
        <v>1259</v>
      </c>
    </row>
    <row r="197" spans="1:8" ht="18.75" x14ac:dyDescent="0.3">
      <c r="A197" s="179" t="s">
        <v>1055</v>
      </c>
      <c r="B197" s="90" t="s">
        <v>1056</v>
      </c>
      <c r="C197" s="221" t="s">
        <v>31</v>
      </c>
      <c r="D197" s="91">
        <v>9000</v>
      </c>
      <c r="E197" s="91">
        <f>1476.6+1476.6+1476.6+1476.6</f>
        <v>5906.4</v>
      </c>
      <c r="F197" s="91"/>
      <c r="G197" s="149">
        <f t="shared" si="4"/>
        <v>3093.6000000000004</v>
      </c>
      <c r="H197" s="222" t="s">
        <v>1404</v>
      </c>
    </row>
    <row r="198" spans="1:8" ht="18.75" x14ac:dyDescent="0.3">
      <c r="A198" s="179"/>
      <c r="B198" s="90">
        <v>179</v>
      </c>
      <c r="C198" s="389" t="s">
        <v>554</v>
      </c>
      <c r="D198" s="390">
        <v>9000</v>
      </c>
      <c r="E198" s="390"/>
      <c r="F198" s="390"/>
      <c r="G198" s="391">
        <f t="shared" si="4"/>
        <v>9000</v>
      </c>
      <c r="H198" s="392" t="s">
        <v>564</v>
      </c>
    </row>
    <row r="199" spans="1:8" ht="18.75" x14ac:dyDescent="0.3">
      <c r="A199" s="179"/>
      <c r="B199" s="90">
        <v>180</v>
      </c>
      <c r="C199" s="221" t="s">
        <v>61</v>
      </c>
      <c r="D199" s="91">
        <v>9000</v>
      </c>
      <c r="E199" s="91">
        <f>1476.6+1476.6+1476.6+1476.6</f>
        <v>5906.4</v>
      </c>
      <c r="F199" s="91"/>
      <c r="G199" s="149">
        <f t="shared" si="4"/>
        <v>3093.6000000000004</v>
      </c>
      <c r="H199" s="222" t="s">
        <v>1404</v>
      </c>
    </row>
    <row r="200" spans="1:8" ht="18.75" x14ac:dyDescent="0.3">
      <c r="A200" s="179" t="s">
        <v>650</v>
      </c>
      <c r="B200" s="90" t="s">
        <v>797</v>
      </c>
      <c r="C200" s="221" t="s">
        <v>67</v>
      </c>
      <c r="D200" s="91">
        <v>30000</v>
      </c>
      <c r="E200" s="91">
        <f>4815+4815+4815+4815</f>
        <v>19260</v>
      </c>
      <c r="F200" s="91"/>
      <c r="G200" s="149">
        <f t="shared" si="4"/>
        <v>10740</v>
      </c>
      <c r="H200" s="222" t="s">
        <v>1136</v>
      </c>
    </row>
    <row r="201" spans="1:8" ht="18.75" x14ac:dyDescent="0.3">
      <c r="A201" s="179" t="s">
        <v>650</v>
      </c>
      <c r="B201" s="90" t="s">
        <v>796</v>
      </c>
      <c r="C201" s="221" t="s">
        <v>78</v>
      </c>
      <c r="D201" s="91">
        <v>12000</v>
      </c>
      <c r="E201" s="91">
        <f>1808.3+1808.3+1808.3+1808.3</f>
        <v>7233.2</v>
      </c>
      <c r="F201" s="91"/>
      <c r="G201" s="149">
        <f t="shared" si="4"/>
        <v>4766.8</v>
      </c>
      <c r="H201" s="222" t="s">
        <v>1259</v>
      </c>
    </row>
    <row r="202" spans="1:8" ht="18.75" x14ac:dyDescent="0.3">
      <c r="A202" s="179"/>
      <c r="B202" s="90">
        <v>183</v>
      </c>
      <c r="C202" s="389" t="s">
        <v>74</v>
      </c>
      <c r="D202" s="390">
        <v>12000</v>
      </c>
      <c r="E202" s="390"/>
      <c r="F202" s="390"/>
      <c r="G202" s="391">
        <f t="shared" si="4"/>
        <v>12000</v>
      </c>
      <c r="H202" s="392" t="s">
        <v>1154</v>
      </c>
    </row>
    <row r="203" spans="1:8" ht="18.75" x14ac:dyDescent="0.3">
      <c r="A203" s="179" t="s">
        <v>650</v>
      </c>
      <c r="B203" s="90" t="s">
        <v>798</v>
      </c>
      <c r="C203" s="221" t="s">
        <v>72</v>
      </c>
      <c r="D203" s="91">
        <v>12000</v>
      </c>
      <c r="E203" s="91">
        <f>1893.9+1893.9+1893.9+1893.9</f>
        <v>7575.6</v>
      </c>
      <c r="F203" s="91"/>
      <c r="G203" s="149">
        <f t="shared" si="4"/>
        <v>4424.3999999999996</v>
      </c>
      <c r="H203" s="222" t="s">
        <v>1406</v>
      </c>
    </row>
    <row r="204" spans="1:8" ht="18.75" x14ac:dyDescent="0.3">
      <c r="A204" s="179"/>
      <c r="B204" s="90">
        <v>185</v>
      </c>
      <c r="C204" s="389" t="s">
        <v>555</v>
      </c>
      <c r="D204" s="390">
        <v>9000</v>
      </c>
      <c r="E204" s="390"/>
      <c r="F204" s="390"/>
      <c r="G204" s="391">
        <f t="shared" si="4"/>
        <v>9000</v>
      </c>
      <c r="H204" s="392" t="s">
        <v>561</v>
      </c>
    </row>
    <row r="205" spans="1:8" ht="18.75" x14ac:dyDescent="0.3">
      <c r="A205" s="179" t="s">
        <v>650</v>
      </c>
      <c r="B205" s="90" t="s">
        <v>798</v>
      </c>
      <c r="C205" s="221" t="s">
        <v>556</v>
      </c>
      <c r="D205" s="91">
        <v>9000</v>
      </c>
      <c r="E205" s="91">
        <f>1476.6+1476.6+1476.6+1476.6</f>
        <v>5906.4</v>
      </c>
      <c r="F205" s="91"/>
      <c r="G205" s="149">
        <f t="shared" si="4"/>
        <v>3093.6000000000004</v>
      </c>
      <c r="H205" s="222" t="s">
        <v>1403</v>
      </c>
    </row>
    <row r="206" spans="1:8" ht="18.75" x14ac:dyDescent="0.3">
      <c r="A206" s="179" t="s">
        <v>650</v>
      </c>
      <c r="B206" s="90" t="s">
        <v>798</v>
      </c>
      <c r="C206" s="221" t="s">
        <v>73</v>
      </c>
      <c r="D206" s="91">
        <v>12000</v>
      </c>
      <c r="E206" s="91">
        <f>1059.3+1059.3+1059.3+1059.3</f>
        <v>4237.2</v>
      </c>
      <c r="F206" s="91"/>
      <c r="G206" s="149">
        <f t="shared" si="4"/>
        <v>7762.8</v>
      </c>
      <c r="H206" s="222" t="s">
        <v>1403</v>
      </c>
    </row>
    <row r="207" spans="1:8" ht="18.75" x14ac:dyDescent="0.3">
      <c r="A207" s="179" t="s">
        <v>793</v>
      </c>
      <c r="B207" s="90" t="s">
        <v>812</v>
      </c>
      <c r="C207" s="221" t="s">
        <v>557</v>
      </c>
      <c r="D207" s="91">
        <v>9000</v>
      </c>
      <c r="E207" s="91">
        <f>749+749+749+749</f>
        <v>2996</v>
      </c>
      <c r="F207" s="91"/>
      <c r="G207" s="149">
        <f t="shared" si="4"/>
        <v>6004</v>
      </c>
      <c r="H207" s="222" t="s">
        <v>1259</v>
      </c>
    </row>
    <row r="208" spans="1:8" ht="18.75" x14ac:dyDescent="0.3">
      <c r="A208" s="179" t="s">
        <v>650</v>
      </c>
      <c r="B208" s="90" t="s">
        <v>797</v>
      </c>
      <c r="C208" s="221" t="s">
        <v>558</v>
      </c>
      <c r="D208" s="91">
        <v>9000</v>
      </c>
      <c r="E208" s="91">
        <f>1498+1498+1498+1498</f>
        <v>5992</v>
      </c>
      <c r="F208" s="91"/>
      <c r="G208" s="149">
        <f t="shared" si="4"/>
        <v>3008</v>
      </c>
      <c r="H208" s="222" t="s">
        <v>1259</v>
      </c>
    </row>
    <row r="209" spans="1:8" ht="18.75" x14ac:dyDescent="0.3">
      <c r="A209" s="179" t="s">
        <v>650</v>
      </c>
      <c r="B209" s="90" t="s">
        <v>798</v>
      </c>
      <c r="C209" s="221" t="s">
        <v>75</v>
      </c>
      <c r="D209" s="91">
        <v>9000</v>
      </c>
      <c r="E209" s="91">
        <f>1476.6+1476.6+1476.6+1476.6</f>
        <v>5906.4</v>
      </c>
      <c r="F209" s="91"/>
      <c r="G209" s="149">
        <f t="shared" si="4"/>
        <v>3093.6000000000004</v>
      </c>
      <c r="H209" s="222" t="s">
        <v>1403</v>
      </c>
    </row>
    <row r="210" spans="1:8" ht="18.75" x14ac:dyDescent="0.3">
      <c r="A210" s="179" t="s">
        <v>650</v>
      </c>
      <c r="B210" s="90" t="s">
        <v>798</v>
      </c>
      <c r="C210" s="221" t="s">
        <v>101</v>
      </c>
      <c r="D210" s="91">
        <v>12000</v>
      </c>
      <c r="E210" s="91">
        <f>1166.3+1166.3+1166.3+1166.3</f>
        <v>4665.2</v>
      </c>
      <c r="F210" s="91"/>
      <c r="G210" s="149">
        <f t="shared" si="4"/>
        <v>7334.8</v>
      </c>
      <c r="H210" s="222" t="s">
        <v>1405</v>
      </c>
    </row>
    <row r="211" spans="1:8" ht="18.75" x14ac:dyDescent="0.3">
      <c r="A211" s="179" t="s">
        <v>1257</v>
      </c>
      <c r="B211" s="90" t="s">
        <v>1258</v>
      </c>
      <c r="C211" s="221" t="s">
        <v>559</v>
      </c>
      <c r="D211" s="91">
        <v>12000</v>
      </c>
      <c r="E211" s="91">
        <f>4263.08+1915.3</f>
        <v>6178.38</v>
      </c>
      <c r="F211" s="91"/>
      <c r="G211" s="149">
        <f t="shared" si="4"/>
        <v>5821.62</v>
      </c>
      <c r="H211" s="222" t="s">
        <v>1442</v>
      </c>
    </row>
    <row r="212" spans="1:8" ht="18.75" x14ac:dyDescent="0.3">
      <c r="A212" s="179" t="s">
        <v>650</v>
      </c>
      <c r="B212" s="90" t="s">
        <v>797</v>
      </c>
      <c r="C212" s="221" t="s">
        <v>560</v>
      </c>
      <c r="D212" s="91">
        <v>12000</v>
      </c>
      <c r="E212" s="91">
        <f>1926+1926+1926+1926</f>
        <v>7704</v>
      </c>
      <c r="F212" s="91"/>
      <c r="G212" s="149">
        <f t="shared" si="4"/>
        <v>4296</v>
      </c>
      <c r="H212" s="222" t="s">
        <v>1136</v>
      </c>
    </row>
    <row r="213" spans="1:8" ht="18.75" x14ac:dyDescent="0.3">
      <c r="A213" s="179"/>
      <c r="B213" s="90"/>
      <c r="C213" s="253"/>
      <c r="D213" s="91"/>
      <c r="E213" s="91"/>
      <c r="F213" s="91"/>
      <c r="G213" s="149"/>
      <c r="H213" s="222"/>
    </row>
    <row r="214" spans="1:8" ht="18.75" x14ac:dyDescent="0.3">
      <c r="A214" s="179" t="s">
        <v>2732</v>
      </c>
      <c r="B214" s="90" t="s">
        <v>2735</v>
      </c>
      <c r="C214" s="253" t="s">
        <v>2776</v>
      </c>
      <c r="D214" s="91"/>
      <c r="E214" s="91">
        <v>426199.16</v>
      </c>
      <c r="F214" s="91"/>
      <c r="G214" s="149"/>
      <c r="H214" s="222"/>
    </row>
    <row r="215" spans="1:8" ht="18.75" x14ac:dyDescent="0.3">
      <c r="A215" s="179" t="s">
        <v>2741</v>
      </c>
      <c r="B215" s="97" t="s">
        <v>2774</v>
      </c>
      <c r="C215" s="253" t="s">
        <v>2775</v>
      </c>
      <c r="D215" s="91"/>
      <c r="E215" s="91">
        <v>12168.46</v>
      </c>
      <c r="F215" s="91"/>
      <c r="G215" s="149"/>
      <c r="H215" s="222"/>
    </row>
    <row r="216" spans="1:8" ht="18.75" x14ac:dyDescent="0.3">
      <c r="A216" s="89" t="s">
        <v>2818</v>
      </c>
      <c r="B216" s="97" t="s">
        <v>2819</v>
      </c>
      <c r="C216" s="253" t="s">
        <v>2795</v>
      </c>
      <c r="D216" s="91"/>
      <c r="E216" s="91">
        <v>661346.35</v>
      </c>
      <c r="F216" s="91"/>
      <c r="G216" s="149"/>
      <c r="H216" s="222"/>
    </row>
    <row r="217" spans="1:8" x14ac:dyDescent="0.3">
      <c r="A217" s="179"/>
      <c r="B217" s="97"/>
      <c r="C217" s="187"/>
      <c r="D217" s="134"/>
      <c r="E217" s="91"/>
      <c r="F217" s="91"/>
      <c r="G217" s="149"/>
      <c r="H217" s="150"/>
    </row>
    <row r="218" spans="1:8" ht="18" thickBot="1" x14ac:dyDescent="0.35">
      <c r="A218" s="108"/>
      <c r="B218" s="143"/>
      <c r="C218" s="131" t="s">
        <v>107</v>
      </c>
      <c r="D218" s="170">
        <f>SUM(D8:D217)</f>
        <v>2271000</v>
      </c>
      <c r="E218" s="258">
        <f>SUM(E8:E217)</f>
        <v>2270999.9999999991</v>
      </c>
      <c r="F218" s="170">
        <f>SUM(F6:F217)</f>
        <v>0</v>
      </c>
      <c r="G218" s="244">
        <f>D218-E218-F218</f>
        <v>9.3132257461547852E-10</v>
      </c>
      <c r="H218" s="94"/>
    </row>
    <row r="219" spans="1:8" ht="18" thickTop="1" x14ac:dyDescent="0.3">
      <c r="D219" s="137"/>
      <c r="F219" s="176"/>
      <c r="G219" s="241"/>
    </row>
    <row r="220" spans="1:8" x14ac:dyDescent="0.3">
      <c r="D220" s="137"/>
      <c r="E220" s="132"/>
      <c r="F220" s="164"/>
    </row>
    <row r="221" spans="1:8" x14ac:dyDescent="0.3">
      <c r="D221" s="137"/>
      <c r="E221" s="132"/>
      <c r="H221" s="132"/>
    </row>
    <row r="222" spans="1:8" x14ac:dyDescent="0.3">
      <c r="C222" s="164"/>
      <c r="E222" s="132"/>
      <c r="H222" s="132"/>
    </row>
    <row r="223" spans="1:8" x14ac:dyDescent="0.3">
      <c r="C223" s="164"/>
      <c r="E223" s="164"/>
      <c r="H223" s="132"/>
    </row>
    <row r="224" spans="1:8" x14ac:dyDescent="0.3">
      <c r="E224" s="139"/>
      <c r="F224" s="132"/>
      <c r="H224" s="132"/>
    </row>
    <row r="225" spans="2:8" x14ac:dyDescent="0.3">
      <c r="B225" s="138"/>
      <c r="C225" s="146"/>
      <c r="D225" s="171"/>
      <c r="E225" s="172"/>
      <c r="G225" s="245"/>
      <c r="H225" s="164"/>
    </row>
    <row r="226" spans="2:8" x14ac:dyDescent="0.3">
      <c r="B226" s="138"/>
      <c r="C226" s="138"/>
      <c r="D226" s="140"/>
      <c r="E226" s="139"/>
    </row>
    <row r="227" spans="2:8" ht="21" x14ac:dyDescent="0.35">
      <c r="B227" s="138"/>
      <c r="C227" s="449"/>
      <c r="D227" s="140"/>
      <c r="E227" s="139"/>
    </row>
    <row r="228" spans="2:8" ht="21" x14ac:dyDescent="0.35">
      <c r="B228" s="138"/>
      <c r="C228" s="449"/>
      <c r="D228" s="140"/>
      <c r="E228" s="139"/>
    </row>
    <row r="229" spans="2:8" ht="21" x14ac:dyDescent="0.35">
      <c r="B229" s="138"/>
      <c r="C229" s="449"/>
      <c r="D229" s="174"/>
      <c r="E229" s="146"/>
    </row>
    <row r="230" spans="2:8" ht="21" x14ac:dyDescent="0.35">
      <c r="B230" s="138"/>
      <c r="C230" s="449"/>
      <c r="D230" s="138"/>
      <c r="E230" s="139"/>
    </row>
    <row r="231" spans="2:8" x14ac:dyDescent="0.3">
      <c r="B231" s="138"/>
      <c r="C231" s="138"/>
      <c r="D231" s="138"/>
      <c r="E231" s="146"/>
    </row>
  </sheetData>
  <mergeCells count="2">
    <mergeCell ref="A1:H1"/>
    <mergeCell ref="A2:H2"/>
  </mergeCells>
  <pageMargins left="0.28000000000000003" right="0.15" top="0.15748031496062992" bottom="0.15748031496062992" header="0.15748031496062992" footer="0.15748031496062992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4"/>
  <sheetViews>
    <sheetView workbookViewId="0">
      <selection activeCell="I4" sqref="I4"/>
    </sheetView>
  </sheetViews>
  <sheetFormatPr defaultRowHeight="17.25" x14ac:dyDescent="0.3"/>
  <cols>
    <col min="1" max="1" width="8.140625" style="23" customWidth="1"/>
    <col min="2" max="2" width="7.85546875" style="78" bestFit="1" customWidth="1"/>
    <col min="3" max="3" width="24.7109375" style="78" customWidth="1"/>
    <col min="4" max="4" width="10.7109375" style="78" customWidth="1"/>
    <col min="5" max="5" width="11.140625" style="78" customWidth="1"/>
    <col min="6" max="6" width="8" style="78" customWidth="1"/>
    <col min="7" max="7" width="11.140625" style="132" customWidth="1"/>
    <col min="8" max="8" width="15.7109375" style="78" customWidth="1"/>
    <col min="9" max="16384" width="9.140625" style="78"/>
  </cols>
  <sheetData>
    <row r="1" spans="1:8" x14ac:dyDescent="0.3">
      <c r="A1" s="453" t="s">
        <v>209</v>
      </c>
      <c r="B1" s="453"/>
      <c r="C1" s="453"/>
      <c r="D1" s="453"/>
      <c r="E1" s="453"/>
      <c r="F1" s="453"/>
      <c r="G1" s="453"/>
      <c r="H1" s="453"/>
    </row>
    <row r="2" spans="1:8" x14ac:dyDescent="0.3">
      <c r="A2" s="453" t="s">
        <v>2392</v>
      </c>
      <c r="B2" s="453"/>
      <c r="C2" s="453"/>
      <c r="D2" s="453"/>
      <c r="E2" s="453"/>
      <c r="F2" s="453"/>
      <c r="G2" s="453"/>
      <c r="H2" s="453"/>
    </row>
    <row r="3" spans="1:8" ht="18.75" x14ac:dyDescent="0.3">
      <c r="A3" s="101" t="s">
        <v>127</v>
      </c>
      <c r="B3" s="77"/>
      <c r="C3" s="77"/>
      <c r="D3" s="77"/>
      <c r="E3" s="152"/>
      <c r="F3" s="77" t="s">
        <v>426</v>
      </c>
      <c r="G3" s="241" t="s">
        <v>5</v>
      </c>
      <c r="H3" s="226" t="s">
        <v>425</v>
      </c>
    </row>
    <row r="4" spans="1:8" x14ac:dyDescent="0.3">
      <c r="A4" s="178" t="s">
        <v>16</v>
      </c>
      <c r="B4" s="156" t="s">
        <v>12</v>
      </c>
      <c r="C4" s="81" t="s">
        <v>4</v>
      </c>
      <c r="D4" s="82" t="s">
        <v>15</v>
      </c>
      <c r="E4" s="82" t="s">
        <v>1</v>
      </c>
      <c r="F4" s="82" t="s">
        <v>34</v>
      </c>
      <c r="G4" s="242" t="s">
        <v>2</v>
      </c>
      <c r="H4" s="81" t="s">
        <v>3</v>
      </c>
    </row>
    <row r="5" spans="1:8" x14ac:dyDescent="0.3">
      <c r="A5" s="105"/>
      <c r="B5" s="84"/>
      <c r="C5" s="85"/>
      <c r="D5" s="86" t="s">
        <v>0</v>
      </c>
      <c r="E5" s="86"/>
      <c r="F5" s="86" t="s">
        <v>35</v>
      </c>
      <c r="G5" s="243"/>
      <c r="H5" s="158"/>
    </row>
    <row r="6" spans="1:8" x14ac:dyDescent="0.3">
      <c r="A6" s="179" t="s">
        <v>427</v>
      </c>
      <c r="B6" s="90" t="s">
        <v>203</v>
      </c>
      <c r="C6" s="49" t="s">
        <v>428</v>
      </c>
      <c r="D6" s="93">
        <v>2271000</v>
      </c>
      <c r="E6" s="93"/>
      <c r="F6" s="93"/>
      <c r="G6" s="149">
        <f>D6</f>
        <v>2271000</v>
      </c>
      <c r="H6" s="75" t="s">
        <v>131</v>
      </c>
    </row>
    <row r="7" spans="1:8" x14ac:dyDescent="0.3">
      <c r="A7" s="179"/>
      <c r="B7" s="90"/>
      <c r="C7" s="49"/>
      <c r="D7" s="93"/>
      <c r="E7" s="93"/>
      <c r="F7" s="93"/>
      <c r="G7" s="149"/>
      <c r="H7" s="94"/>
    </row>
    <row r="8" spans="1:8" x14ac:dyDescent="0.3">
      <c r="A8" s="179"/>
      <c r="B8" s="90"/>
      <c r="C8" s="49" t="s">
        <v>429</v>
      </c>
      <c r="D8" s="93"/>
      <c r="E8" s="93"/>
      <c r="F8" s="93"/>
      <c r="G8" s="149"/>
      <c r="H8" s="94"/>
    </row>
    <row r="9" spans="1:8" x14ac:dyDescent="0.3">
      <c r="A9" s="95" t="s">
        <v>793</v>
      </c>
      <c r="B9" s="97" t="s">
        <v>808</v>
      </c>
      <c r="C9" s="49" t="s">
        <v>807</v>
      </c>
      <c r="D9" s="93"/>
      <c r="E9" s="93"/>
      <c r="F9" s="91"/>
      <c r="G9" s="211"/>
      <c r="H9" s="75" t="s">
        <v>898</v>
      </c>
    </row>
    <row r="10" spans="1:8" x14ac:dyDescent="0.3">
      <c r="A10" s="95" t="s">
        <v>1019</v>
      </c>
      <c r="B10" s="97" t="s">
        <v>1020</v>
      </c>
      <c r="C10" s="49" t="s">
        <v>1021</v>
      </c>
      <c r="D10" s="93"/>
      <c r="E10" s="93"/>
      <c r="F10" s="91"/>
      <c r="G10" s="211"/>
      <c r="H10" s="75"/>
    </row>
    <row r="11" spans="1:8" x14ac:dyDescent="0.3">
      <c r="A11" s="95" t="s">
        <v>1158</v>
      </c>
      <c r="B11" s="97" t="s">
        <v>1211</v>
      </c>
      <c r="C11" s="49" t="s">
        <v>1210</v>
      </c>
      <c r="D11" s="93"/>
      <c r="E11" s="93"/>
      <c r="F11" s="91"/>
      <c r="G11" s="211"/>
      <c r="H11" s="75"/>
    </row>
    <row r="12" spans="1:8" x14ac:dyDescent="0.3">
      <c r="A12" s="95" t="s">
        <v>1315</v>
      </c>
      <c r="B12" s="97" t="s">
        <v>1346</v>
      </c>
      <c r="C12" s="49" t="s">
        <v>1345</v>
      </c>
      <c r="D12" s="93"/>
      <c r="E12" s="93"/>
      <c r="F12" s="91"/>
      <c r="G12" s="211"/>
      <c r="H12" s="75"/>
    </row>
    <row r="13" spans="1:8" x14ac:dyDescent="0.3">
      <c r="A13" s="95" t="s">
        <v>1485</v>
      </c>
      <c r="B13" s="97" t="s">
        <v>1515</v>
      </c>
      <c r="C13" s="49" t="s">
        <v>1516</v>
      </c>
      <c r="D13" s="93"/>
      <c r="E13" s="93"/>
      <c r="F13" s="91"/>
      <c r="G13" s="211"/>
      <c r="H13" s="75"/>
    </row>
    <row r="14" spans="1:8" x14ac:dyDescent="0.3">
      <c r="A14" s="95" t="s">
        <v>1685</v>
      </c>
      <c r="B14" s="97" t="s">
        <v>1692</v>
      </c>
      <c r="C14" s="49" t="s">
        <v>1691</v>
      </c>
      <c r="D14" s="93"/>
      <c r="E14" s="93"/>
      <c r="F14" s="91"/>
      <c r="G14" s="211"/>
      <c r="H14" s="75"/>
    </row>
    <row r="15" spans="1:8" x14ac:dyDescent="0.3">
      <c r="A15" s="95" t="s">
        <v>2067</v>
      </c>
      <c r="B15" s="97" t="s">
        <v>2075</v>
      </c>
      <c r="C15" s="49" t="s">
        <v>2072</v>
      </c>
      <c r="D15" s="93"/>
      <c r="E15" s="93"/>
      <c r="F15" s="91"/>
      <c r="G15" s="149"/>
      <c r="H15" s="75"/>
    </row>
    <row r="16" spans="1:8" x14ac:dyDescent="0.3">
      <c r="A16" s="95" t="s">
        <v>2394</v>
      </c>
      <c r="B16" s="97" t="s">
        <v>2395</v>
      </c>
      <c r="C16" s="49" t="s">
        <v>2073</v>
      </c>
      <c r="D16" s="93"/>
      <c r="E16" s="93"/>
      <c r="F16" s="136"/>
      <c r="G16" s="149"/>
      <c r="H16" s="75"/>
    </row>
    <row r="17" spans="1:8" x14ac:dyDescent="0.3">
      <c r="A17" s="95"/>
      <c r="B17" s="97"/>
      <c r="C17" s="49" t="s">
        <v>2074</v>
      </c>
      <c r="D17" s="93"/>
      <c r="E17" s="93"/>
      <c r="F17" s="136"/>
      <c r="G17" s="149"/>
      <c r="H17" s="75"/>
    </row>
    <row r="18" spans="1:8" x14ac:dyDescent="0.3">
      <c r="A18" s="95"/>
      <c r="B18" s="97"/>
      <c r="C18" s="49"/>
      <c r="D18" s="93"/>
      <c r="E18" s="93"/>
      <c r="F18" s="91"/>
      <c r="G18" s="149"/>
      <c r="H18" s="75"/>
    </row>
    <row r="19" spans="1:8" x14ac:dyDescent="0.3">
      <c r="A19" s="95"/>
      <c r="B19" s="97"/>
      <c r="C19" s="49"/>
      <c r="D19" s="93"/>
      <c r="E19" s="93"/>
      <c r="F19" s="91"/>
      <c r="G19" s="149"/>
      <c r="H19" s="75"/>
    </row>
    <row r="20" spans="1:8" ht="18.75" x14ac:dyDescent="0.3">
      <c r="A20" s="179" t="s">
        <v>1019</v>
      </c>
      <c r="B20" s="90" t="s">
        <v>1043</v>
      </c>
      <c r="C20" s="221" t="s">
        <v>430</v>
      </c>
      <c r="D20" s="91">
        <v>12000</v>
      </c>
      <c r="E20" s="91">
        <f>1926+1894.94+1926</f>
        <v>5746.9400000000005</v>
      </c>
      <c r="F20" s="91"/>
      <c r="G20" s="149">
        <f>D20-E20</f>
        <v>6253.0599999999995</v>
      </c>
      <c r="H20" s="222" t="s">
        <v>1260</v>
      </c>
    </row>
    <row r="21" spans="1:8" ht="18.75" x14ac:dyDescent="0.3">
      <c r="A21" s="179" t="s">
        <v>654</v>
      </c>
      <c r="B21" s="90" t="s">
        <v>797</v>
      </c>
      <c r="C21" s="221" t="s">
        <v>431</v>
      </c>
      <c r="D21" s="91">
        <v>9000</v>
      </c>
      <c r="E21" s="91">
        <f>1476.6+1476.6+1476.6+1476.6</f>
        <v>5906.4</v>
      </c>
      <c r="F21" s="91"/>
      <c r="G21" s="149">
        <f t="shared" ref="G21:G84" si="0">D21-E21</f>
        <v>3093.6000000000004</v>
      </c>
      <c r="H21" s="222" t="s">
        <v>1404</v>
      </c>
    </row>
    <row r="22" spans="1:8" ht="18.75" x14ac:dyDescent="0.3">
      <c r="A22" s="179" t="s">
        <v>650</v>
      </c>
      <c r="B22" s="90" t="s">
        <v>797</v>
      </c>
      <c r="C22" s="221" t="s">
        <v>432</v>
      </c>
      <c r="D22" s="91">
        <v>9000</v>
      </c>
      <c r="E22" s="91">
        <f>1498+1498+1498+1498</f>
        <v>5992</v>
      </c>
      <c r="F22" s="91"/>
      <c r="G22" s="149">
        <f t="shared" si="0"/>
        <v>3008</v>
      </c>
      <c r="H22" s="222" t="s">
        <v>1404</v>
      </c>
    </row>
    <row r="23" spans="1:8" ht="18.75" x14ac:dyDescent="0.3">
      <c r="A23" s="179"/>
      <c r="B23" s="90">
        <v>4</v>
      </c>
      <c r="C23" s="389" t="s">
        <v>433</v>
      </c>
      <c r="D23" s="390">
        <v>9000</v>
      </c>
      <c r="E23" s="390"/>
      <c r="F23" s="390"/>
      <c r="G23" s="391">
        <f t="shared" si="0"/>
        <v>9000</v>
      </c>
      <c r="H23" s="392" t="s">
        <v>561</v>
      </c>
    </row>
    <row r="24" spans="1:8" ht="18.75" x14ac:dyDescent="0.3">
      <c r="A24" s="179"/>
      <c r="B24" s="90">
        <v>5</v>
      </c>
      <c r="C24" s="389" t="s">
        <v>434</v>
      </c>
      <c r="D24" s="390">
        <v>9000</v>
      </c>
      <c r="E24" s="390"/>
      <c r="F24" s="390"/>
      <c r="G24" s="391">
        <f t="shared" si="0"/>
        <v>9000</v>
      </c>
      <c r="H24" s="392" t="s">
        <v>561</v>
      </c>
    </row>
    <row r="25" spans="1:8" ht="18.75" x14ac:dyDescent="0.3">
      <c r="A25" s="179" t="s">
        <v>650</v>
      </c>
      <c r="B25" s="90" t="s">
        <v>798</v>
      </c>
      <c r="C25" s="221" t="s">
        <v>84</v>
      </c>
      <c r="D25" s="91">
        <v>12000</v>
      </c>
      <c r="E25" s="91">
        <f>1369.6+1369.6+1369.6+1369.6</f>
        <v>5478.4</v>
      </c>
      <c r="F25" s="91"/>
      <c r="G25" s="149">
        <f t="shared" si="0"/>
        <v>6521.6</v>
      </c>
      <c r="H25" s="222" t="s">
        <v>1404</v>
      </c>
    </row>
    <row r="26" spans="1:8" ht="18.75" x14ac:dyDescent="0.3">
      <c r="A26" s="179" t="s">
        <v>650</v>
      </c>
      <c r="B26" s="90" t="s">
        <v>798</v>
      </c>
      <c r="C26" s="221" t="s">
        <v>30</v>
      </c>
      <c r="D26" s="91">
        <v>9000</v>
      </c>
      <c r="E26" s="91">
        <f>738.3+738.3+738.3+738.3</f>
        <v>2953.2</v>
      </c>
      <c r="F26" s="91"/>
      <c r="G26" s="149">
        <f t="shared" si="0"/>
        <v>6046.8</v>
      </c>
      <c r="H26" s="222" t="s">
        <v>1404</v>
      </c>
    </row>
    <row r="27" spans="1:8" ht="18.75" x14ac:dyDescent="0.3">
      <c r="A27" s="179" t="s">
        <v>650</v>
      </c>
      <c r="B27" s="90" t="s">
        <v>798</v>
      </c>
      <c r="C27" s="221" t="s">
        <v>435</v>
      </c>
      <c r="D27" s="91">
        <v>21000</v>
      </c>
      <c r="E27" s="91">
        <f>2568+2568+2568+2568</f>
        <v>10272</v>
      </c>
      <c r="F27" s="91"/>
      <c r="G27" s="149">
        <f t="shared" si="0"/>
        <v>10728</v>
      </c>
      <c r="H27" s="222" t="s">
        <v>1404</v>
      </c>
    </row>
    <row r="28" spans="1:8" ht="18.75" x14ac:dyDescent="0.3">
      <c r="A28" s="179" t="s">
        <v>650</v>
      </c>
      <c r="B28" s="90" t="s">
        <v>798</v>
      </c>
      <c r="C28" s="221" t="s">
        <v>48</v>
      </c>
      <c r="D28" s="91">
        <v>9000</v>
      </c>
      <c r="E28" s="91">
        <f>738.3+738.3+738.3+738.3</f>
        <v>2953.2</v>
      </c>
      <c r="F28" s="91"/>
      <c r="G28" s="149">
        <f t="shared" si="0"/>
        <v>6046.8</v>
      </c>
      <c r="H28" s="222" t="s">
        <v>1404</v>
      </c>
    </row>
    <row r="29" spans="1:8" ht="18.75" x14ac:dyDescent="0.3">
      <c r="A29" s="179" t="s">
        <v>1019</v>
      </c>
      <c r="B29" s="90" t="s">
        <v>1042</v>
      </c>
      <c r="C29" s="221" t="s">
        <v>436</v>
      </c>
      <c r="D29" s="91">
        <v>12000</v>
      </c>
      <c r="E29" s="91">
        <f>1808.3+1808.3+1808.3</f>
        <v>5424.9</v>
      </c>
      <c r="F29" s="91"/>
      <c r="G29" s="149">
        <f t="shared" si="0"/>
        <v>6575.1</v>
      </c>
      <c r="H29" s="222" t="s">
        <v>1405</v>
      </c>
    </row>
    <row r="30" spans="1:8" ht="18.75" x14ac:dyDescent="0.3">
      <c r="A30" s="179" t="s">
        <v>650</v>
      </c>
      <c r="B30" s="90" t="s">
        <v>797</v>
      </c>
      <c r="C30" s="221" t="s">
        <v>82</v>
      </c>
      <c r="D30" s="91">
        <v>9000</v>
      </c>
      <c r="E30" s="91">
        <f>1284+1284+1284+1284</f>
        <v>5136</v>
      </c>
      <c r="F30" s="91"/>
      <c r="G30" s="149">
        <f t="shared" si="0"/>
        <v>3864</v>
      </c>
      <c r="H30" s="222" t="s">
        <v>1259</v>
      </c>
    </row>
    <row r="31" spans="1:8" ht="18.75" x14ac:dyDescent="0.3">
      <c r="A31" s="179" t="s">
        <v>650</v>
      </c>
      <c r="B31" s="90" t="s">
        <v>797</v>
      </c>
      <c r="C31" s="221" t="s">
        <v>437</v>
      </c>
      <c r="D31" s="91">
        <v>9000</v>
      </c>
      <c r="E31" s="91">
        <f>1498+1498+1498+1498</f>
        <v>5992</v>
      </c>
      <c r="F31" s="91"/>
      <c r="G31" s="149">
        <f t="shared" si="0"/>
        <v>3008</v>
      </c>
      <c r="H31" s="222" t="s">
        <v>1136</v>
      </c>
    </row>
    <row r="32" spans="1:8" ht="18.75" x14ac:dyDescent="0.3">
      <c r="A32" s="179" t="s">
        <v>650</v>
      </c>
      <c r="B32" s="90" t="s">
        <v>798</v>
      </c>
      <c r="C32" s="221" t="s">
        <v>51</v>
      </c>
      <c r="D32" s="91">
        <v>9000</v>
      </c>
      <c r="E32" s="91">
        <f>1476.6+1476.6+1476.6+1476.6</f>
        <v>5906.4</v>
      </c>
      <c r="F32" s="91"/>
      <c r="G32" s="149">
        <f t="shared" si="0"/>
        <v>3093.6000000000004</v>
      </c>
      <c r="H32" s="222" t="s">
        <v>1404</v>
      </c>
    </row>
    <row r="33" spans="1:8" ht="18.75" x14ac:dyDescent="0.3">
      <c r="A33" s="179" t="s">
        <v>650</v>
      </c>
      <c r="B33" s="90" t="s">
        <v>798</v>
      </c>
      <c r="C33" s="221" t="s">
        <v>81</v>
      </c>
      <c r="D33" s="91">
        <v>9000</v>
      </c>
      <c r="E33" s="91">
        <f>1380.3+1380.3+1380.3+1380.3</f>
        <v>5521.2</v>
      </c>
      <c r="F33" s="91"/>
      <c r="G33" s="149">
        <f t="shared" si="0"/>
        <v>3478.8</v>
      </c>
      <c r="H33" s="222" t="s">
        <v>1404</v>
      </c>
    </row>
    <row r="34" spans="1:8" ht="18.75" x14ac:dyDescent="0.3">
      <c r="A34" s="179" t="s">
        <v>793</v>
      </c>
      <c r="B34" s="90" t="s">
        <v>812</v>
      </c>
      <c r="C34" s="221" t="s">
        <v>438</v>
      </c>
      <c r="D34" s="91">
        <v>12000</v>
      </c>
      <c r="E34" s="91">
        <f>1926+1926+1926+1926</f>
        <v>7704</v>
      </c>
      <c r="F34" s="91"/>
      <c r="G34" s="149">
        <f t="shared" si="0"/>
        <v>4296</v>
      </c>
      <c r="H34" s="222" t="s">
        <v>1404</v>
      </c>
    </row>
    <row r="35" spans="1:8" ht="18.75" x14ac:dyDescent="0.3">
      <c r="A35" s="179" t="s">
        <v>816</v>
      </c>
      <c r="B35" s="90" t="s">
        <v>812</v>
      </c>
      <c r="C35" s="221" t="s">
        <v>439</v>
      </c>
      <c r="D35" s="91">
        <v>30000</v>
      </c>
      <c r="E35" s="91">
        <f>3306.3+3306.3+3306.3+3306.3</f>
        <v>13225.2</v>
      </c>
      <c r="F35" s="91"/>
      <c r="G35" s="149">
        <f t="shared" si="0"/>
        <v>16774.8</v>
      </c>
      <c r="H35" s="222" t="s">
        <v>1404</v>
      </c>
    </row>
    <row r="36" spans="1:8" ht="18.75" x14ac:dyDescent="0.3">
      <c r="A36" s="179" t="s">
        <v>650</v>
      </c>
      <c r="B36" s="90" t="s">
        <v>798</v>
      </c>
      <c r="C36" s="221" t="s">
        <v>94</v>
      </c>
      <c r="D36" s="91">
        <v>9000</v>
      </c>
      <c r="E36" s="91">
        <f>631.3+631.3+631.3+631.3</f>
        <v>2525.1999999999998</v>
      </c>
      <c r="F36" s="91"/>
      <c r="G36" s="149">
        <f t="shared" si="0"/>
        <v>6474.8</v>
      </c>
      <c r="H36" s="222" t="s">
        <v>1404</v>
      </c>
    </row>
    <row r="37" spans="1:8" ht="18.75" x14ac:dyDescent="0.3">
      <c r="A37" s="179"/>
      <c r="B37" s="90">
        <v>18</v>
      </c>
      <c r="C37" s="389" t="s">
        <v>440</v>
      </c>
      <c r="D37" s="390">
        <v>12000</v>
      </c>
      <c r="E37" s="390"/>
      <c r="F37" s="390"/>
      <c r="G37" s="391">
        <f t="shared" si="0"/>
        <v>12000</v>
      </c>
      <c r="H37" s="392" t="s">
        <v>562</v>
      </c>
    </row>
    <row r="38" spans="1:8" ht="18.75" x14ac:dyDescent="0.3">
      <c r="A38" s="179" t="s">
        <v>650</v>
      </c>
      <c r="B38" s="90" t="s">
        <v>797</v>
      </c>
      <c r="C38" s="221" t="s">
        <v>441</v>
      </c>
      <c r="D38" s="91">
        <v>9000</v>
      </c>
      <c r="E38" s="91">
        <f>1498+1498+1498+1498</f>
        <v>5992</v>
      </c>
      <c r="F38" s="91"/>
      <c r="G38" s="149">
        <f t="shared" si="0"/>
        <v>3008</v>
      </c>
      <c r="H38" s="222" t="s">
        <v>1136</v>
      </c>
    </row>
    <row r="39" spans="1:8" ht="18.75" x14ac:dyDescent="0.3">
      <c r="A39" s="179"/>
      <c r="B39" s="90">
        <v>20</v>
      </c>
      <c r="C39" s="221" t="s">
        <v>442</v>
      </c>
      <c r="D39" s="91">
        <v>21000</v>
      </c>
      <c r="E39" s="91">
        <f>3381.2+3381.2+3381.2+3381.2</f>
        <v>13524.8</v>
      </c>
      <c r="F39" s="91"/>
      <c r="G39" s="149">
        <f t="shared" si="0"/>
        <v>7475.2000000000007</v>
      </c>
      <c r="H39" s="222" t="s">
        <v>1404</v>
      </c>
    </row>
    <row r="40" spans="1:8" ht="18.75" x14ac:dyDescent="0.3">
      <c r="A40" s="179" t="s">
        <v>851</v>
      </c>
      <c r="B40" s="90" t="s">
        <v>853</v>
      </c>
      <c r="C40" s="221" t="s">
        <v>443</v>
      </c>
      <c r="D40" s="91">
        <v>9000</v>
      </c>
      <c r="E40" s="91">
        <f>1498+1498+1498+1498</f>
        <v>5992</v>
      </c>
      <c r="F40" s="91"/>
      <c r="G40" s="149">
        <f t="shared" si="0"/>
        <v>3008</v>
      </c>
      <c r="H40" s="222" t="s">
        <v>1404</v>
      </c>
    </row>
    <row r="41" spans="1:8" ht="18.75" x14ac:dyDescent="0.3">
      <c r="A41" s="179" t="s">
        <v>650</v>
      </c>
      <c r="B41" s="90" t="s">
        <v>797</v>
      </c>
      <c r="C41" s="221" t="s">
        <v>444</v>
      </c>
      <c r="D41" s="91">
        <v>9000</v>
      </c>
      <c r="E41" s="91">
        <f>1476.6+1476.6+1476.6+1476.6</f>
        <v>5906.4</v>
      </c>
      <c r="F41" s="91"/>
      <c r="G41" s="149">
        <f t="shared" si="0"/>
        <v>3093.6000000000004</v>
      </c>
      <c r="H41" s="222" t="s">
        <v>1404</v>
      </c>
    </row>
    <row r="42" spans="1:8" ht="18.75" x14ac:dyDescent="0.3">
      <c r="A42" s="179" t="s">
        <v>650</v>
      </c>
      <c r="B42" s="90" t="s">
        <v>797</v>
      </c>
      <c r="C42" s="221" t="s">
        <v>445</v>
      </c>
      <c r="D42" s="91">
        <v>9000</v>
      </c>
      <c r="E42" s="91">
        <f>1284+1284+1284+1284</f>
        <v>5136</v>
      </c>
      <c r="F42" s="91"/>
      <c r="G42" s="149">
        <f t="shared" si="0"/>
        <v>3864</v>
      </c>
      <c r="H42" s="222" t="s">
        <v>1404</v>
      </c>
    </row>
    <row r="43" spans="1:8" ht="18.75" x14ac:dyDescent="0.3">
      <c r="A43" s="179" t="s">
        <v>650</v>
      </c>
      <c r="B43" s="90" t="s">
        <v>798</v>
      </c>
      <c r="C43" s="221" t="s">
        <v>446</v>
      </c>
      <c r="D43" s="91">
        <v>12000</v>
      </c>
      <c r="E43" s="91">
        <f>588.5+588.5+588.5+588.5</f>
        <v>2354</v>
      </c>
      <c r="F43" s="91"/>
      <c r="G43" s="149">
        <f t="shared" si="0"/>
        <v>9646</v>
      </c>
      <c r="H43" s="222" t="s">
        <v>1404</v>
      </c>
    </row>
    <row r="44" spans="1:8" ht="18.75" x14ac:dyDescent="0.3">
      <c r="A44" s="179" t="s">
        <v>650</v>
      </c>
      <c r="B44" s="90" t="s">
        <v>798</v>
      </c>
      <c r="C44" s="221" t="s">
        <v>95</v>
      </c>
      <c r="D44" s="91">
        <v>12000</v>
      </c>
      <c r="E44" s="91">
        <f>1476.6+1476.6+1476.6+1476.6</f>
        <v>5906.4</v>
      </c>
      <c r="F44" s="91"/>
      <c r="G44" s="149">
        <f t="shared" si="0"/>
        <v>6093.6</v>
      </c>
      <c r="H44" s="222" t="s">
        <v>1404</v>
      </c>
    </row>
    <row r="45" spans="1:8" ht="18.75" x14ac:dyDescent="0.3">
      <c r="A45" s="179" t="s">
        <v>650</v>
      </c>
      <c r="B45" s="90" t="s">
        <v>797</v>
      </c>
      <c r="C45" s="221" t="s">
        <v>49</v>
      </c>
      <c r="D45" s="91">
        <v>12000</v>
      </c>
      <c r="E45" s="91">
        <f>1893.9+1893.9+1893.9+1893.9</f>
        <v>7575.6</v>
      </c>
      <c r="F45" s="91"/>
      <c r="G45" s="149">
        <f t="shared" si="0"/>
        <v>4424.3999999999996</v>
      </c>
      <c r="H45" s="222" t="s">
        <v>1136</v>
      </c>
    </row>
    <row r="46" spans="1:8" ht="18.75" x14ac:dyDescent="0.3">
      <c r="A46" s="179" t="s">
        <v>650</v>
      </c>
      <c r="B46" s="90" t="s">
        <v>798</v>
      </c>
      <c r="C46" s="221" t="s">
        <v>447</v>
      </c>
      <c r="D46" s="91">
        <v>12000</v>
      </c>
      <c r="E46" s="91">
        <f>1915.3+1915.3+1915.3+1915.3</f>
        <v>7661.2</v>
      </c>
      <c r="F46" s="91"/>
      <c r="G46" s="149">
        <f t="shared" si="0"/>
        <v>4338.8</v>
      </c>
      <c r="H46" s="222" t="s">
        <v>1404</v>
      </c>
    </row>
    <row r="47" spans="1:8" ht="18.75" x14ac:dyDescent="0.3">
      <c r="A47" s="179" t="s">
        <v>650</v>
      </c>
      <c r="B47" s="90" t="s">
        <v>797</v>
      </c>
      <c r="C47" s="221" t="s">
        <v>448</v>
      </c>
      <c r="D47" s="91">
        <v>12000</v>
      </c>
      <c r="E47" s="91">
        <f>749+749+749+749</f>
        <v>2996</v>
      </c>
      <c r="F47" s="91"/>
      <c r="G47" s="149">
        <f t="shared" si="0"/>
        <v>9004</v>
      </c>
      <c r="H47" s="222" t="s">
        <v>1404</v>
      </c>
    </row>
    <row r="48" spans="1:8" ht="18.75" x14ac:dyDescent="0.3">
      <c r="A48" s="179" t="s">
        <v>650</v>
      </c>
      <c r="B48" s="90" t="s">
        <v>686</v>
      </c>
      <c r="C48" s="221" t="s">
        <v>85</v>
      </c>
      <c r="D48" s="91">
        <v>12000</v>
      </c>
      <c r="E48" s="91">
        <f>850.65+850.65+850.65+850.65</f>
        <v>3402.6</v>
      </c>
      <c r="F48" s="91"/>
      <c r="G48" s="149">
        <f t="shared" si="0"/>
        <v>8597.4</v>
      </c>
      <c r="H48" s="222" t="s">
        <v>1404</v>
      </c>
    </row>
    <row r="49" spans="1:8" ht="18.75" x14ac:dyDescent="0.3">
      <c r="A49" s="179" t="s">
        <v>650</v>
      </c>
      <c r="B49" s="90" t="s">
        <v>797</v>
      </c>
      <c r="C49" s="221" t="s">
        <v>449</v>
      </c>
      <c r="D49" s="91">
        <v>12000</v>
      </c>
      <c r="E49" s="91">
        <f>1893.9+1893.9+1893.9+1893.9</f>
        <v>7575.6</v>
      </c>
      <c r="F49" s="91"/>
      <c r="G49" s="149">
        <f t="shared" si="0"/>
        <v>4424.3999999999996</v>
      </c>
      <c r="H49" s="222" t="s">
        <v>1404</v>
      </c>
    </row>
    <row r="50" spans="1:8" ht="18.75" x14ac:dyDescent="0.3">
      <c r="A50" s="179" t="s">
        <v>650</v>
      </c>
      <c r="B50" s="90" t="s">
        <v>797</v>
      </c>
      <c r="C50" s="221" t="s">
        <v>69</v>
      </c>
      <c r="D50" s="91">
        <v>12000</v>
      </c>
      <c r="E50" s="91">
        <f>1498+1498+1498+1498</f>
        <v>5992</v>
      </c>
      <c r="F50" s="91"/>
      <c r="G50" s="149">
        <f t="shared" si="0"/>
        <v>6008</v>
      </c>
      <c r="H50" s="222" t="s">
        <v>1404</v>
      </c>
    </row>
    <row r="51" spans="1:8" ht="18.75" x14ac:dyDescent="0.3">
      <c r="A51" s="179" t="s">
        <v>793</v>
      </c>
      <c r="B51" s="90" t="s">
        <v>812</v>
      </c>
      <c r="C51" s="221" t="s">
        <v>450</v>
      </c>
      <c r="D51" s="91">
        <v>12000</v>
      </c>
      <c r="E51" s="91">
        <f>1926+1926+1926+1926</f>
        <v>7704</v>
      </c>
      <c r="F51" s="91"/>
      <c r="G51" s="149">
        <f t="shared" si="0"/>
        <v>4296</v>
      </c>
      <c r="H51" s="222" t="s">
        <v>1404</v>
      </c>
    </row>
    <row r="52" spans="1:8" ht="18.75" x14ac:dyDescent="0.3">
      <c r="A52" s="179" t="s">
        <v>793</v>
      </c>
      <c r="B52" s="90" t="s">
        <v>812</v>
      </c>
      <c r="C52" s="221" t="s">
        <v>451</v>
      </c>
      <c r="D52" s="91">
        <v>12000</v>
      </c>
      <c r="E52" s="91">
        <f>749+749+749+749</f>
        <v>2996</v>
      </c>
      <c r="F52" s="91"/>
      <c r="G52" s="149">
        <f t="shared" si="0"/>
        <v>9004</v>
      </c>
      <c r="H52" s="222" t="s">
        <v>1404</v>
      </c>
    </row>
    <row r="53" spans="1:8" ht="18.75" x14ac:dyDescent="0.3">
      <c r="A53" s="179" t="s">
        <v>650</v>
      </c>
      <c r="B53" s="90" t="s">
        <v>798</v>
      </c>
      <c r="C53" s="221" t="s">
        <v>452</v>
      </c>
      <c r="D53" s="91">
        <v>12000</v>
      </c>
      <c r="E53" s="91">
        <f>1957.03+1957.03+1957.03+1957.03</f>
        <v>7828.12</v>
      </c>
      <c r="F53" s="91"/>
      <c r="G53" s="149">
        <f t="shared" si="0"/>
        <v>4171.88</v>
      </c>
      <c r="H53" s="222" t="s">
        <v>1404</v>
      </c>
    </row>
    <row r="54" spans="1:8" ht="18.75" x14ac:dyDescent="0.3">
      <c r="A54" s="179" t="s">
        <v>650</v>
      </c>
      <c r="B54" s="90" t="s">
        <v>797</v>
      </c>
      <c r="C54" s="221" t="s">
        <v>70</v>
      </c>
      <c r="D54" s="91">
        <v>12000</v>
      </c>
      <c r="E54" s="91">
        <f>1926+1926+1926+1926</f>
        <v>7704</v>
      </c>
      <c r="F54" s="91"/>
      <c r="G54" s="149">
        <f t="shared" si="0"/>
        <v>4296</v>
      </c>
      <c r="H54" s="222" t="s">
        <v>1404</v>
      </c>
    </row>
    <row r="55" spans="1:8" ht="18.75" x14ac:dyDescent="0.3">
      <c r="A55" s="179" t="s">
        <v>1019</v>
      </c>
      <c r="B55" s="90" t="s">
        <v>1041</v>
      </c>
      <c r="C55" s="221" t="s">
        <v>453</v>
      </c>
      <c r="D55" s="91">
        <v>9000</v>
      </c>
      <c r="E55" s="91">
        <f>732.95+732.95+732.95+732.95</f>
        <v>2931.8</v>
      </c>
      <c r="F55" s="91"/>
      <c r="G55" s="149">
        <f t="shared" si="0"/>
        <v>6068.2</v>
      </c>
      <c r="H55" s="222" t="s">
        <v>1404</v>
      </c>
    </row>
    <row r="56" spans="1:8" ht="18.75" x14ac:dyDescent="0.3">
      <c r="A56" s="179" t="s">
        <v>650</v>
      </c>
      <c r="B56" s="90" t="s">
        <v>797</v>
      </c>
      <c r="C56" s="221" t="s">
        <v>47</v>
      </c>
      <c r="D56" s="91">
        <v>9000</v>
      </c>
      <c r="E56" s="91">
        <f>1498+1498+1498+1498</f>
        <v>5992</v>
      </c>
      <c r="F56" s="91"/>
      <c r="G56" s="149">
        <f t="shared" si="0"/>
        <v>3008</v>
      </c>
      <c r="H56" s="222" t="s">
        <v>1404</v>
      </c>
    </row>
    <row r="57" spans="1:8" ht="18.75" x14ac:dyDescent="0.3">
      <c r="A57" s="179" t="s">
        <v>650</v>
      </c>
      <c r="B57" s="90" t="s">
        <v>796</v>
      </c>
      <c r="C57" s="221" t="s">
        <v>454</v>
      </c>
      <c r="D57" s="91">
        <v>9000</v>
      </c>
      <c r="E57" s="91">
        <f>738.3+738.3+738.3+738.3</f>
        <v>2953.2</v>
      </c>
      <c r="F57" s="91"/>
      <c r="G57" s="149">
        <f t="shared" si="0"/>
        <v>6046.8</v>
      </c>
      <c r="H57" s="222" t="s">
        <v>1404</v>
      </c>
    </row>
    <row r="58" spans="1:8" ht="18.75" x14ac:dyDescent="0.3">
      <c r="A58" s="179" t="s">
        <v>1059</v>
      </c>
      <c r="B58" s="90" t="s">
        <v>796</v>
      </c>
      <c r="C58" s="221" t="s">
        <v>68</v>
      </c>
      <c r="D58" s="91">
        <v>30000</v>
      </c>
      <c r="E58" s="91">
        <f>749+749+749+749</f>
        <v>2996</v>
      </c>
      <c r="F58" s="91"/>
      <c r="G58" s="149">
        <f t="shared" si="0"/>
        <v>27004</v>
      </c>
      <c r="H58" s="222" t="s">
        <v>1405</v>
      </c>
    </row>
    <row r="59" spans="1:8" ht="18.75" x14ac:dyDescent="0.3">
      <c r="A59" s="179" t="s">
        <v>851</v>
      </c>
      <c r="B59" s="90" t="s">
        <v>854</v>
      </c>
      <c r="C59" s="221" t="s">
        <v>455</v>
      </c>
      <c r="D59" s="91">
        <v>12000</v>
      </c>
      <c r="E59" s="91">
        <f>1808.3+1808.3+1808.3+1808.3</f>
        <v>7233.2</v>
      </c>
      <c r="F59" s="91"/>
      <c r="G59" s="149">
        <f t="shared" si="0"/>
        <v>4766.8</v>
      </c>
      <c r="H59" s="222" t="s">
        <v>1405</v>
      </c>
    </row>
    <row r="60" spans="1:8" ht="18.75" x14ac:dyDescent="0.3">
      <c r="A60" s="179" t="s">
        <v>650</v>
      </c>
      <c r="B60" s="90" t="s">
        <v>798</v>
      </c>
      <c r="C60" s="221" t="s">
        <v>28</v>
      </c>
      <c r="D60" s="91">
        <v>9000</v>
      </c>
      <c r="E60" s="91">
        <f>1476.6+1476.6+1476.6+1476.6</f>
        <v>5906.4</v>
      </c>
      <c r="F60" s="91"/>
      <c r="G60" s="149">
        <f t="shared" si="0"/>
        <v>3093.6000000000004</v>
      </c>
      <c r="H60" s="222" t="s">
        <v>1405</v>
      </c>
    </row>
    <row r="61" spans="1:8" ht="18.75" x14ac:dyDescent="0.3">
      <c r="A61" s="179"/>
      <c r="B61" s="90">
        <v>42</v>
      </c>
      <c r="C61" s="221" t="s">
        <v>456</v>
      </c>
      <c r="D61" s="91">
        <v>9000</v>
      </c>
      <c r="E61" s="91">
        <f>738.3+738.3+738.3+738.3</f>
        <v>2953.2</v>
      </c>
      <c r="F61" s="91"/>
      <c r="G61" s="149">
        <f t="shared" si="0"/>
        <v>6046.8</v>
      </c>
      <c r="H61" s="222" t="s">
        <v>1405</v>
      </c>
    </row>
    <row r="62" spans="1:8" ht="18.75" x14ac:dyDescent="0.3">
      <c r="A62" s="179" t="s">
        <v>650</v>
      </c>
      <c r="B62" s="90" t="s">
        <v>796</v>
      </c>
      <c r="C62" s="221" t="s">
        <v>71</v>
      </c>
      <c r="D62" s="91">
        <v>12000</v>
      </c>
      <c r="E62" s="91">
        <f>2000+2000+2000+2000</f>
        <v>8000</v>
      </c>
      <c r="F62" s="91"/>
      <c r="G62" s="149">
        <f t="shared" si="0"/>
        <v>4000</v>
      </c>
      <c r="H62" s="222" t="s">
        <v>1259</v>
      </c>
    </row>
    <row r="63" spans="1:8" ht="18.75" x14ac:dyDescent="0.3">
      <c r="A63" s="179"/>
      <c r="B63" s="90">
        <v>44</v>
      </c>
      <c r="C63" s="389" t="s">
        <v>457</v>
      </c>
      <c r="D63" s="390">
        <v>9000</v>
      </c>
      <c r="E63" s="390"/>
      <c r="F63" s="390"/>
      <c r="G63" s="391">
        <f t="shared" si="0"/>
        <v>9000</v>
      </c>
      <c r="H63" s="393" t="s">
        <v>563</v>
      </c>
    </row>
    <row r="64" spans="1:8" ht="18.75" x14ac:dyDescent="0.3">
      <c r="A64" s="179" t="s">
        <v>650</v>
      </c>
      <c r="B64" s="90" t="s">
        <v>796</v>
      </c>
      <c r="C64" s="221" t="s">
        <v>458</v>
      </c>
      <c r="D64" s="91">
        <v>9000</v>
      </c>
      <c r="E64" s="91">
        <f>1498+1498+1498+1498</f>
        <v>5992</v>
      </c>
      <c r="F64" s="91"/>
      <c r="G64" s="149">
        <f t="shared" si="0"/>
        <v>3008</v>
      </c>
      <c r="H64" s="222" t="s">
        <v>1136</v>
      </c>
    </row>
    <row r="65" spans="1:8" ht="18.75" x14ac:dyDescent="0.3">
      <c r="A65" s="179" t="s">
        <v>650</v>
      </c>
      <c r="B65" s="90" t="s">
        <v>796</v>
      </c>
      <c r="C65" s="221" t="s">
        <v>83</v>
      </c>
      <c r="D65" s="91">
        <v>9000</v>
      </c>
      <c r="E65" s="91">
        <f>1498+1498+1498+1498</f>
        <v>5992</v>
      </c>
      <c r="F65" s="91"/>
      <c r="G65" s="149">
        <f t="shared" si="0"/>
        <v>3008</v>
      </c>
      <c r="H65" s="222" t="s">
        <v>1259</v>
      </c>
    </row>
    <row r="66" spans="1:8" ht="18.75" x14ac:dyDescent="0.3">
      <c r="A66" s="179" t="s">
        <v>650</v>
      </c>
      <c r="B66" s="90" t="s">
        <v>798</v>
      </c>
      <c r="C66" s="221" t="s">
        <v>29</v>
      </c>
      <c r="D66" s="91">
        <v>9000</v>
      </c>
      <c r="E66" s="91">
        <f>1476.6+1476.6+1476.6+1476.6</f>
        <v>5906.4</v>
      </c>
      <c r="F66" s="91"/>
      <c r="G66" s="149">
        <f t="shared" si="0"/>
        <v>3093.6000000000004</v>
      </c>
      <c r="H66" s="222" t="s">
        <v>1405</v>
      </c>
    </row>
    <row r="67" spans="1:8" ht="18.75" x14ac:dyDescent="0.3">
      <c r="A67" s="179" t="s">
        <v>650</v>
      </c>
      <c r="B67" s="90" t="s">
        <v>798</v>
      </c>
      <c r="C67" s="221" t="s">
        <v>102</v>
      </c>
      <c r="D67" s="91">
        <v>12000</v>
      </c>
      <c r="E67" s="91">
        <f>1476.6+1476.6+1476.6+1476.6</f>
        <v>5906.4</v>
      </c>
      <c r="F67" s="91"/>
      <c r="G67" s="149">
        <f t="shared" si="0"/>
        <v>6093.6</v>
      </c>
      <c r="H67" s="222" t="s">
        <v>1405</v>
      </c>
    </row>
    <row r="68" spans="1:8" ht="18.75" x14ac:dyDescent="0.3">
      <c r="A68" s="179" t="s">
        <v>793</v>
      </c>
      <c r="B68" s="90" t="s">
        <v>811</v>
      </c>
      <c r="C68" s="221" t="s">
        <v>103</v>
      </c>
      <c r="D68" s="91">
        <v>12000</v>
      </c>
      <c r="E68" s="91">
        <f>1605+1605+1605+1605</f>
        <v>6420</v>
      </c>
      <c r="F68" s="91"/>
      <c r="G68" s="149">
        <f t="shared" si="0"/>
        <v>5580</v>
      </c>
      <c r="H68" s="222" t="s">
        <v>1136</v>
      </c>
    </row>
    <row r="69" spans="1:8" ht="18.75" x14ac:dyDescent="0.3">
      <c r="A69" s="179" t="s">
        <v>650</v>
      </c>
      <c r="B69" s="90" t="s">
        <v>798</v>
      </c>
      <c r="C69" s="221" t="s">
        <v>459</v>
      </c>
      <c r="D69" s="91">
        <v>9000</v>
      </c>
      <c r="E69" s="91">
        <f>1177+1177+1177+1177</f>
        <v>4708</v>
      </c>
      <c r="F69" s="91"/>
      <c r="G69" s="149">
        <f t="shared" si="0"/>
        <v>4292</v>
      </c>
      <c r="H69" s="222" t="s">
        <v>1404</v>
      </c>
    </row>
    <row r="70" spans="1:8" ht="18.75" x14ac:dyDescent="0.3">
      <c r="A70" s="179" t="s">
        <v>1019</v>
      </c>
      <c r="B70" s="90" t="s">
        <v>1039</v>
      </c>
      <c r="C70" s="221" t="s">
        <v>50</v>
      </c>
      <c r="D70" s="91">
        <v>9000</v>
      </c>
      <c r="E70" s="91">
        <f>426.93+426.93+426.93</f>
        <v>1280.79</v>
      </c>
      <c r="F70" s="91"/>
      <c r="G70" s="149">
        <f t="shared" si="0"/>
        <v>7719.21</v>
      </c>
      <c r="H70" s="222" t="s">
        <v>1136</v>
      </c>
    </row>
    <row r="71" spans="1:8" ht="18.75" x14ac:dyDescent="0.3">
      <c r="A71" s="179" t="s">
        <v>684</v>
      </c>
      <c r="B71" s="90" t="s">
        <v>685</v>
      </c>
      <c r="C71" s="221" t="s">
        <v>460</v>
      </c>
      <c r="D71" s="91">
        <v>9000</v>
      </c>
      <c r="E71" s="91">
        <f>1284+1284+1284+642+642</f>
        <v>5136</v>
      </c>
      <c r="F71" s="91"/>
      <c r="G71" s="149">
        <f t="shared" si="0"/>
        <v>3864</v>
      </c>
      <c r="H71" s="222" t="s">
        <v>1136</v>
      </c>
    </row>
    <row r="72" spans="1:8" ht="18.75" x14ac:dyDescent="0.3">
      <c r="A72" s="179" t="s">
        <v>1057</v>
      </c>
      <c r="B72" s="90" t="s">
        <v>686</v>
      </c>
      <c r="C72" s="221" t="s">
        <v>461</v>
      </c>
      <c r="D72" s="91">
        <v>9000</v>
      </c>
      <c r="E72" s="91">
        <f>1476.6+1476.6+1476.6+1476.6</f>
        <v>5906.4</v>
      </c>
      <c r="F72" s="91"/>
      <c r="G72" s="149">
        <f t="shared" si="0"/>
        <v>3093.6000000000004</v>
      </c>
      <c r="H72" s="222" t="s">
        <v>1404</v>
      </c>
    </row>
    <row r="73" spans="1:8" ht="18.75" x14ac:dyDescent="0.3">
      <c r="A73" s="179" t="s">
        <v>1019</v>
      </c>
      <c r="B73" s="90" t="s">
        <v>1043</v>
      </c>
      <c r="C73" s="221" t="s">
        <v>462</v>
      </c>
      <c r="D73" s="266">
        <v>12000</v>
      </c>
      <c r="E73" s="91">
        <f>1893.9+1893.9+1893.9</f>
        <v>5681.7000000000007</v>
      </c>
      <c r="F73" s="91"/>
      <c r="G73" s="149">
        <f t="shared" si="0"/>
        <v>6318.2999999999993</v>
      </c>
      <c r="H73" s="227" t="s">
        <v>1260</v>
      </c>
    </row>
    <row r="74" spans="1:8" ht="18.75" x14ac:dyDescent="0.3">
      <c r="A74" s="179" t="s">
        <v>650</v>
      </c>
      <c r="B74" s="90" t="s">
        <v>796</v>
      </c>
      <c r="C74" s="221" t="s">
        <v>463</v>
      </c>
      <c r="D74" s="91">
        <v>9000</v>
      </c>
      <c r="E74" s="91">
        <f>1498+1498+1498+1498</f>
        <v>5992</v>
      </c>
      <c r="F74" s="91"/>
      <c r="G74" s="149">
        <f t="shared" si="0"/>
        <v>3008</v>
      </c>
      <c r="H74" s="222" t="s">
        <v>1136</v>
      </c>
    </row>
    <row r="75" spans="1:8" ht="18.75" x14ac:dyDescent="0.3">
      <c r="A75" s="179" t="s">
        <v>650</v>
      </c>
      <c r="B75" s="90" t="s">
        <v>796</v>
      </c>
      <c r="C75" s="221" t="s">
        <v>464</v>
      </c>
      <c r="D75" s="91">
        <v>9000</v>
      </c>
      <c r="E75" s="91">
        <f>1300+1300+1300+1300</f>
        <v>5200</v>
      </c>
      <c r="F75" s="91"/>
      <c r="G75" s="149">
        <f t="shared" si="0"/>
        <v>3800</v>
      </c>
      <c r="H75" s="222" t="s">
        <v>1136</v>
      </c>
    </row>
    <row r="76" spans="1:8" ht="18.75" x14ac:dyDescent="0.3">
      <c r="A76" s="179" t="s">
        <v>793</v>
      </c>
      <c r="B76" s="90" t="s">
        <v>811</v>
      </c>
      <c r="C76" s="221" t="s">
        <v>465</v>
      </c>
      <c r="D76" s="91">
        <v>9000</v>
      </c>
      <c r="E76" s="91">
        <f>1498+1498+1498+1498</f>
        <v>5992</v>
      </c>
      <c r="F76" s="91"/>
      <c r="G76" s="149">
        <f t="shared" si="0"/>
        <v>3008</v>
      </c>
      <c r="H76" s="222" t="s">
        <v>1136</v>
      </c>
    </row>
    <row r="77" spans="1:8" ht="18.75" x14ac:dyDescent="0.3">
      <c r="A77" s="179" t="s">
        <v>650</v>
      </c>
      <c r="B77" s="90" t="s">
        <v>797</v>
      </c>
      <c r="C77" s="221" t="s">
        <v>466</v>
      </c>
      <c r="D77" s="91">
        <v>12000</v>
      </c>
      <c r="E77" s="91">
        <f>1926+1926+1926+1926</f>
        <v>7704</v>
      </c>
      <c r="F77" s="91"/>
      <c r="G77" s="149">
        <f t="shared" si="0"/>
        <v>4296</v>
      </c>
      <c r="H77" s="222" t="s">
        <v>1136</v>
      </c>
    </row>
    <row r="78" spans="1:8" ht="18.75" x14ac:dyDescent="0.3">
      <c r="A78" s="179" t="s">
        <v>793</v>
      </c>
      <c r="B78" s="90" t="s">
        <v>812</v>
      </c>
      <c r="C78" s="221" t="s">
        <v>467</v>
      </c>
      <c r="D78" s="91">
        <v>12000</v>
      </c>
      <c r="E78" s="91">
        <f>1926+1926+1926+1926</f>
        <v>7704</v>
      </c>
      <c r="F78" s="91"/>
      <c r="G78" s="149">
        <f t="shared" si="0"/>
        <v>4296</v>
      </c>
      <c r="H78" s="222" t="s">
        <v>1136</v>
      </c>
    </row>
    <row r="79" spans="1:8" ht="18.75" x14ac:dyDescent="0.3">
      <c r="A79" s="179" t="s">
        <v>793</v>
      </c>
      <c r="B79" s="90" t="s">
        <v>812</v>
      </c>
      <c r="C79" s="221" t="s">
        <v>468</v>
      </c>
      <c r="D79" s="91">
        <v>9000</v>
      </c>
      <c r="E79" s="91">
        <f>738.3+738.3+738.3+738.3</f>
        <v>2953.2</v>
      </c>
      <c r="F79" s="91"/>
      <c r="G79" s="149">
        <f t="shared" si="0"/>
        <v>6046.8</v>
      </c>
      <c r="H79" s="222" t="s">
        <v>1404</v>
      </c>
    </row>
    <row r="80" spans="1:8" ht="18.75" x14ac:dyDescent="0.3">
      <c r="A80" s="179" t="s">
        <v>650</v>
      </c>
      <c r="B80" s="90" t="s">
        <v>798</v>
      </c>
      <c r="C80" s="221" t="s">
        <v>469</v>
      </c>
      <c r="D80" s="91">
        <v>12000</v>
      </c>
      <c r="E80" s="91">
        <f>1957.03+1957.03+1957.03+1957.03</f>
        <v>7828.12</v>
      </c>
      <c r="F80" s="91"/>
      <c r="G80" s="149">
        <f t="shared" si="0"/>
        <v>4171.88</v>
      </c>
      <c r="H80" s="222" t="s">
        <v>1404</v>
      </c>
    </row>
    <row r="81" spans="1:8" ht="18.75" x14ac:dyDescent="0.3">
      <c r="A81" s="179" t="s">
        <v>650</v>
      </c>
      <c r="B81" s="90" t="s">
        <v>798</v>
      </c>
      <c r="C81" s="221" t="s">
        <v>470</v>
      </c>
      <c r="D81" s="91">
        <v>12000</v>
      </c>
      <c r="E81" s="91">
        <f>1957.03+1957.03+1957.03+1957.03</f>
        <v>7828.12</v>
      </c>
      <c r="F81" s="91"/>
      <c r="G81" s="149">
        <f t="shared" si="0"/>
        <v>4171.88</v>
      </c>
      <c r="H81" s="222" t="s">
        <v>1404</v>
      </c>
    </row>
    <row r="82" spans="1:8" ht="18.75" x14ac:dyDescent="0.3">
      <c r="A82" s="179" t="s">
        <v>650</v>
      </c>
      <c r="B82" s="90" t="s">
        <v>798</v>
      </c>
      <c r="C82" s="221" t="s">
        <v>471</v>
      </c>
      <c r="D82" s="91">
        <v>9000</v>
      </c>
      <c r="E82" s="91">
        <f>738.3+738.3+738.3+738.3</f>
        <v>2953.2</v>
      </c>
      <c r="F82" s="91"/>
      <c r="G82" s="149">
        <f t="shared" si="0"/>
        <v>6046.8</v>
      </c>
      <c r="H82" s="222" t="s">
        <v>1404</v>
      </c>
    </row>
    <row r="83" spans="1:8" ht="18.75" x14ac:dyDescent="0.3">
      <c r="A83" s="179" t="s">
        <v>793</v>
      </c>
      <c r="B83" s="90" t="s">
        <v>812</v>
      </c>
      <c r="C83" s="221" t="s">
        <v>472</v>
      </c>
      <c r="D83" s="91">
        <v>9000</v>
      </c>
      <c r="E83" s="91">
        <f>1498+1498+1498+1498</f>
        <v>5992</v>
      </c>
      <c r="F83" s="91"/>
      <c r="G83" s="149">
        <f t="shared" si="0"/>
        <v>3008</v>
      </c>
      <c r="H83" s="222" t="s">
        <v>1136</v>
      </c>
    </row>
    <row r="84" spans="1:8" ht="18.75" x14ac:dyDescent="0.3">
      <c r="A84" s="179" t="s">
        <v>650</v>
      </c>
      <c r="B84" s="90" t="s">
        <v>797</v>
      </c>
      <c r="C84" s="221" t="s">
        <v>473</v>
      </c>
      <c r="D84" s="91">
        <v>9000</v>
      </c>
      <c r="E84" s="91">
        <f>1498+1498+1498+1498</f>
        <v>5992</v>
      </c>
      <c r="F84" s="91"/>
      <c r="G84" s="149">
        <f t="shared" si="0"/>
        <v>3008</v>
      </c>
      <c r="H84" s="222" t="s">
        <v>1136</v>
      </c>
    </row>
    <row r="85" spans="1:8" ht="18.75" x14ac:dyDescent="0.3">
      <c r="A85" s="179" t="s">
        <v>1059</v>
      </c>
      <c r="B85" s="90" t="s">
        <v>797</v>
      </c>
      <c r="C85" s="221" t="s">
        <v>474</v>
      </c>
      <c r="D85" s="91">
        <v>9000</v>
      </c>
      <c r="E85" s="91">
        <f>1476.6+1476.6+1476.6+1476.6</f>
        <v>5906.4</v>
      </c>
      <c r="F85" s="91"/>
      <c r="G85" s="149">
        <f t="shared" ref="G85:G148" si="1">D85-E85</f>
        <v>3093.6000000000004</v>
      </c>
      <c r="H85" s="222" t="s">
        <v>1405</v>
      </c>
    </row>
    <row r="86" spans="1:8" ht="18.75" x14ac:dyDescent="0.3">
      <c r="A86" s="179" t="s">
        <v>650</v>
      </c>
      <c r="B86" s="90" t="s">
        <v>797</v>
      </c>
      <c r="C86" s="221" t="s">
        <v>53</v>
      </c>
      <c r="D86" s="91">
        <v>12000</v>
      </c>
      <c r="E86" s="91">
        <f>1926+1926+1926+1926</f>
        <v>7704</v>
      </c>
      <c r="F86" s="91"/>
      <c r="G86" s="149">
        <f t="shared" si="1"/>
        <v>4296</v>
      </c>
      <c r="H86" s="222" t="s">
        <v>1259</v>
      </c>
    </row>
    <row r="87" spans="1:8" ht="18.75" x14ac:dyDescent="0.3">
      <c r="A87" s="179"/>
      <c r="B87" s="90">
        <v>68</v>
      </c>
      <c r="C87" s="394" t="s">
        <v>475</v>
      </c>
      <c r="D87" s="395">
        <v>12000</v>
      </c>
      <c r="E87" s="395"/>
      <c r="F87" s="395"/>
      <c r="G87" s="391">
        <f t="shared" si="1"/>
        <v>12000</v>
      </c>
      <c r="H87" s="396" t="s">
        <v>2297</v>
      </c>
    </row>
    <row r="88" spans="1:8" ht="18.75" x14ac:dyDescent="0.3">
      <c r="A88" s="179" t="s">
        <v>650</v>
      </c>
      <c r="B88" s="90" t="s">
        <v>798</v>
      </c>
      <c r="C88" s="221" t="s">
        <v>86</v>
      </c>
      <c r="D88" s="91">
        <v>12000</v>
      </c>
      <c r="E88" s="91">
        <f>738.3+738.3+738.3+738.3</f>
        <v>2953.2</v>
      </c>
      <c r="F88" s="91"/>
      <c r="G88" s="149">
        <f t="shared" si="1"/>
        <v>9046.7999999999993</v>
      </c>
      <c r="H88" s="222" t="s">
        <v>1405</v>
      </c>
    </row>
    <row r="89" spans="1:8" ht="18.75" x14ac:dyDescent="0.3">
      <c r="A89" s="179" t="s">
        <v>650</v>
      </c>
      <c r="B89" s="90" t="s">
        <v>798</v>
      </c>
      <c r="C89" s="221" t="s">
        <v>476</v>
      </c>
      <c r="D89" s="91">
        <v>21000</v>
      </c>
      <c r="E89" s="91">
        <f>3156.5+3156.5+3156.5+3156.5</f>
        <v>12626</v>
      </c>
      <c r="F89" s="91"/>
      <c r="G89" s="149">
        <f t="shared" si="1"/>
        <v>8374</v>
      </c>
      <c r="H89" s="222" t="s">
        <v>1405</v>
      </c>
    </row>
    <row r="90" spans="1:8" ht="18.75" x14ac:dyDescent="0.3">
      <c r="A90" s="179" t="s">
        <v>650</v>
      </c>
      <c r="B90" s="90" t="s">
        <v>798</v>
      </c>
      <c r="C90" s="221" t="s">
        <v>477</v>
      </c>
      <c r="D90" s="91">
        <v>9000</v>
      </c>
      <c r="E90" s="91">
        <f>1476.6+1476.6+1476.6+1476.6</f>
        <v>5906.4</v>
      </c>
      <c r="F90" s="91"/>
      <c r="G90" s="149">
        <f t="shared" si="1"/>
        <v>3093.6000000000004</v>
      </c>
      <c r="H90" s="222" t="s">
        <v>1404</v>
      </c>
    </row>
    <row r="91" spans="1:8" ht="18.75" x14ac:dyDescent="0.3">
      <c r="A91" s="179" t="s">
        <v>650</v>
      </c>
      <c r="B91" s="90" t="s">
        <v>798</v>
      </c>
      <c r="C91" s="221" t="s">
        <v>38</v>
      </c>
      <c r="D91" s="91">
        <v>12000</v>
      </c>
      <c r="E91" s="91">
        <f>749+749+749+749</f>
        <v>2996</v>
      </c>
      <c r="F91" s="91"/>
      <c r="G91" s="149">
        <f t="shared" si="1"/>
        <v>9004</v>
      </c>
      <c r="H91" s="222" t="s">
        <v>1404</v>
      </c>
    </row>
    <row r="92" spans="1:8" ht="18.75" x14ac:dyDescent="0.3">
      <c r="A92" s="179" t="s">
        <v>654</v>
      </c>
      <c r="B92" s="90" t="s">
        <v>797</v>
      </c>
      <c r="C92" s="221" t="s">
        <v>478</v>
      </c>
      <c r="D92" s="91">
        <v>9000</v>
      </c>
      <c r="E92" s="91">
        <f>1476.6+1476.6+1476.6+1476.6</f>
        <v>5906.4</v>
      </c>
      <c r="F92" s="91"/>
      <c r="G92" s="149">
        <f t="shared" si="1"/>
        <v>3093.6000000000004</v>
      </c>
      <c r="H92" s="222" t="s">
        <v>1404</v>
      </c>
    </row>
    <row r="93" spans="1:8" ht="18.75" x14ac:dyDescent="0.3">
      <c r="A93" s="179" t="s">
        <v>650</v>
      </c>
      <c r="B93" s="90" t="s">
        <v>798</v>
      </c>
      <c r="C93" s="221" t="s">
        <v>52</v>
      </c>
      <c r="D93" s="91">
        <v>9000</v>
      </c>
      <c r="E93" s="91">
        <f>1476.6+1476.6+1476.6+1476.6</f>
        <v>5906.4</v>
      </c>
      <c r="F93" s="91"/>
      <c r="G93" s="149">
        <f t="shared" si="1"/>
        <v>3093.6000000000004</v>
      </c>
      <c r="H93" s="222" t="s">
        <v>1136</v>
      </c>
    </row>
    <row r="94" spans="1:8" ht="18.75" x14ac:dyDescent="0.3">
      <c r="A94" s="179" t="s">
        <v>650</v>
      </c>
      <c r="B94" s="90" t="s">
        <v>796</v>
      </c>
      <c r="C94" s="221" t="s">
        <v>479</v>
      </c>
      <c r="D94" s="91">
        <v>9000</v>
      </c>
      <c r="E94" s="91">
        <f>1300+1300+1300+1300</f>
        <v>5200</v>
      </c>
      <c r="F94" s="91"/>
      <c r="G94" s="149">
        <f t="shared" si="1"/>
        <v>3800</v>
      </c>
      <c r="H94" s="222" t="s">
        <v>1136</v>
      </c>
    </row>
    <row r="95" spans="1:8" ht="18.75" x14ac:dyDescent="0.3">
      <c r="A95" s="179" t="s">
        <v>650</v>
      </c>
      <c r="B95" s="90" t="s">
        <v>797</v>
      </c>
      <c r="C95" s="221" t="s">
        <v>480</v>
      </c>
      <c r="D95" s="91">
        <v>21000</v>
      </c>
      <c r="E95" s="91">
        <f>3317+3317+3317+3317</f>
        <v>13268</v>
      </c>
      <c r="F95" s="91"/>
      <c r="G95" s="149">
        <f t="shared" si="1"/>
        <v>7732</v>
      </c>
      <c r="H95" s="222" t="s">
        <v>1136</v>
      </c>
    </row>
    <row r="96" spans="1:8" ht="18.75" x14ac:dyDescent="0.3">
      <c r="A96" s="179" t="s">
        <v>650</v>
      </c>
      <c r="B96" s="90" t="s">
        <v>797</v>
      </c>
      <c r="C96" s="221" t="s">
        <v>481</v>
      </c>
      <c r="D96" s="91">
        <v>9000</v>
      </c>
      <c r="E96" s="91">
        <f>749+1284+1284+1284</f>
        <v>4601</v>
      </c>
      <c r="F96" s="91"/>
      <c r="G96" s="149">
        <f t="shared" si="1"/>
        <v>4399</v>
      </c>
      <c r="H96" s="222" t="s">
        <v>1136</v>
      </c>
    </row>
    <row r="97" spans="1:8" ht="18.75" x14ac:dyDescent="0.3">
      <c r="A97" s="179" t="s">
        <v>650</v>
      </c>
      <c r="B97" s="90" t="s">
        <v>798</v>
      </c>
      <c r="C97" s="221" t="s">
        <v>87</v>
      </c>
      <c r="D97" s="91">
        <v>12000</v>
      </c>
      <c r="E97" s="91">
        <f>1476.6+1476.6+1476.6+1476.6</f>
        <v>5906.4</v>
      </c>
      <c r="F97" s="91"/>
      <c r="G97" s="149">
        <f t="shared" si="1"/>
        <v>6093.6</v>
      </c>
      <c r="H97" s="222" t="s">
        <v>1404</v>
      </c>
    </row>
    <row r="98" spans="1:8" ht="18.75" x14ac:dyDescent="0.3">
      <c r="A98" s="179" t="s">
        <v>650</v>
      </c>
      <c r="B98" s="90" t="s">
        <v>797</v>
      </c>
      <c r="C98" s="221" t="s">
        <v>482</v>
      </c>
      <c r="D98" s="91">
        <v>9000</v>
      </c>
      <c r="E98" s="91">
        <f>1284+1284+1284+1284</f>
        <v>5136</v>
      </c>
      <c r="F98" s="91"/>
      <c r="G98" s="149">
        <f t="shared" si="1"/>
        <v>3864</v>
      </c>
      <c r="H98" s="222" t="s">
        <v>1136</v>
      </c>
    </row>
    <row r="99" spans="1:8" ht="18.75" x14ac:dyDescent="0.3">
      <c r="A99" s="179" t="s">
        <v>650</v>
      </c>
      <c r="B99" s="90" t="s">
        <v>798</v>
      </c>
      <c r="C99" s="221" t="s">
        <v>483</v>
      </c>
      <c r="D99" s="91">
        <v>9000</v>
      </c>
      <c r="E99" s="91">
        <f>1476.6+1476.6+1476.6+1476.6</f>
        <v>5906.4</v>
      </c>
      <c r="F99" s="91"/>
      <c r="G99" s="149">
        <f t="shared" si="1"/>
        <v>3093.6000000000004</v>
      </c>
      <c r="H99" s="222" t="s">
        <v>1405</v>
      </c>
    </row>
    <row r="100" spans="1:8" ht="18.75" x14ac:dyDescent="0.3">
      <c r="A100" s="179" t="s">
        <v>650</v>
      </c>
      <c r="B100" s="90" t="s">
        <v>798</v>
      </c>
      <c r="C100" s="221" t="s">
        <v>484</v>
      </c>
      <c r="D100" s="91">
        <v>9000</v>
      </c>
      <c r="E100" s="91">
        <f>1476.6+1476.6+1476.6+1476.6</f>
        <v>5906.4</v>
      </c>
      <c r="F100" s="91"/>
      <c r="G100" s="149">
        <f t="shared" si="1"/>
        <v>3093.6000000000004</v>
      </c>
      <c r="H100" s="222" t="s">
        <v>1405</v>
      </c>
    </row>
    <row r="101" spans="1:8" ht="18.75" x14ac:dyDescent="0.3">
      <c r="A101" s="179" t="s">
        <v>650</v>
      </c>
      <c r="B101" s="90" t="s">
        <v>797</v>
      </c>
      <c r="C101" s="221" t="s">
        <v>485</v>
      </c>
      <c r="D101" s="91">
        <v>9000</v>
      </c>
      <c r="E101" s="91">
        <f>631.3+631.3+631.3+631.3</f>
        <v>2525.1999999999998</v>
      </c>
      <c r="F101" s="91"/>
      <c r="G101" s="149">
        <f t="shared" si="1"/>
        <v>6474.8</v>
      </c>
      <c r="H101" s="222" t="s">
        <v>1259</v>
      </c>
    </row>
    <row r="102" spans="1:8" ht="18.75" x14ac:dyDescent="0.3">
      <c r="A102" s="179"/>
      <c r="B102" s="90">
        <v>83</v>
      </c>
      <c r="C102" s="389" t="s">
        <v>96</v>
      </c>
      <c r="D102" s="390">
        <v>9000</v>
      </c>
      <c r="E102" s="390"/>
      <c r="F102" s="390"/>
      <c r="G102" s="391">
        <f t="shared" si="1"/>
        <v>9000</v>
      </c>
      <c r="H102" s="392" t="s">
        <v>561</v>
      </c>
    </row>
    <row r="103" spans="1:8" ht="18.75" x14ac:dyDescent="0.3">
      <c r="A103" s="179"/>
      <c r="B103" s="90">
        <v>84</v>
      </c>
      <c r="C103" s="389" t="s">
        <v>486</v>
      </c>
      <c r="D103" s="390">
        <v>9000</v>
      </c>
      <c r="E103" s="390"/>
      <c r="F103" s="390"/>
      <c r="G103" s="391">
        <f t="shared" si="1"/>
        <v>9000</v>
      </c>
      <c r="H103" s="392" t="s">
        <v>561</v>
      </c>
    </row>
    <row r="104" spans="1:8" ht="18.75" x14ac:dyDescent="0.3">
      <c r="A104" s="179"/>
      <c r="B104" s="90">
        <v>85</v>
      </c>
      <c r="C104" s="389" t="s">
        <v>54</v>
      </c>
      <c r="D104" s="390">
        <v>9000</v>
      </c>
      <c r="E104" s="390"/>
      <c r="F104" s="390"/>
      <c r="G104" s="391">
        <f t="shared" si="1"/>
        <v>9000</v>
      </c>
      <c r="H104" s="392" t="s">
        <v>2297</v>
      </c>
    </row>
    <row r="105" spans="1:8" ht="18.75" x14ac:dyDescent="0.3">
      <c r="A105" s="179" t="s">
        <v>650</v>
      </c>
      <c r="B105" s="90" t="s">
        <v>797</v>
      </c>
      <c r="C105" s="221" t="s">
        <v>487</v>
      </c>
      <c r="D105" s="91">
        <v>12000</v>
      </c>
      <c r="E105" s="91">
        <f>1926+1926+1926+1926</f>
        <v>7704</v>
      </c>
      <c r="F105" s="91"/>
      <c r="G105" s="149">
        <f t="shared" si="1"/>
        <v>4296</v>
      </c>
      <c r="H105" s="222" t="s">
        <v>1404</v>
      </c>
    </row>
    <row r="106" spans="1:8" ht="18.75" x14ac:dyDescent="0.3">
      <c r="A106" s="179" t="s">
        <v>650</v>
      </c>
      <c r="B106" s="90" t="s">
        <v>797</v>
      </c>
      <c r="C106" s="221" t="s">
        <v>488</v>
      </c>
      <c r="D106" s="91">
        <v>9000</v>
      </c>
      <c r="E106" s="91">
        <f>749+749+749+749</f>
        <v>2996</v>
      </c>
      <c r="F106" s="91"/>
      <c r="G106" s="149">
        <f t="shared" si="1"/>
        <v>6004</v>
      </c>
      <c r="H106" s="222" t="s">
        <v>1136</v>
      </c>
    </row>
    <row r="107" spans="1:8" ht="18.75" x14ac:dyDescent="0.3">
      <c r="A107" s="179" t="s">
        <v>650</v>
      </c>
      <c r="B107" s="90" t="s">
        <v>797</v>
      </c>
      <c r="C107" s="221" t="s">
        <v>489</v>
      </c>
      <c r="D107" s="91">
        <v>12000</v>
      </c>
      <c r="E107" s="91">
        <f>1926+1926+1926+1926</f>
        <v>7704</v>
      </c>
      <c r="F107" s="91"/>
      <c r="G107" s="149">
        <f t="shared" si="1"/>
        <v>4296</v>
      </c>
      <c r="H107" s="222" t="s">
        <v>1136</v>
      </c>
    </row>
    <row r="108" spans="1:8" ht="18.75" x14ac:dyDescent="0.3">
      <c r="A108" s="179" t="s">
        <v>650</v>
      </c>
      <c r="B108" s="90" t="s">
        <v>796</v>
      </c>
      <c r="C108" s="221" t="s">
        <v>104</v>
      </c>
      <c r="D108" s="91">
        <v>12000</v>
      </c>
      <c r="E108" s="91">
        <f>1808.3+1808.3+1808.3+1808.3</f>
        <v>7233.2</v>
      </c>
      <c r="F108" s="91"/>
      <c r="G108" s="149">
        <f t="shared" si="1"/>
        <v>4766.8</v>
      </c>
      <c r="H108" s="222" t="s">
        <v>1136</v>
      </c>
    </row>
    <row r="109" spans="1:8" ht="18.75" x14ac:dyDescent="0.3">
      <c r="A109" s="179" t="s">
        <v>1128</v>
      </c>
      <c r="B109" s="90" t="s">
        <v>1135</v>
      </c>
      <c r="C109" s="221" t="s">
        <v>97</v>
      </c>
      <c r="D109" s="91">
        <v>12000</v>
      </c>
      <c r="E109" s="91">
        <f>1476.6+1476.6+1476.6+1476.6</f>
        <v>5906.4</v>
      </c>
      <c r="F109" s="91"/>
      <c r="G109" s="149">
        <f t="shared" si="1"/>
        <v>6093.6</v>
      </c>
      <c r="H109" s="222" t="s">
        <v>1404</v>
      </c>
    </row>
    <row r="110" spans="1:8" ht="18.75" x14ac:dyDescent="0.3">
      <c r="A110" s="179" t="s">
        <v>650</v>
      </c>
      <c r="B110" s="90" t="s">
        <v>797</v>
      </c>
      <c r="C110" s="221" t="s">
        <v>490</v>
      </c>
      <c r="D110" s="91">
        <v>9000</v>
      </c>
      <c r="E110" s="91">
        <f>749+749+749+749</f>
        <v>2996</v>
      </c>
      <c r="F110" s="91"/>
      <c r="G110" s="149">
        <f t="shared" si="1"/>
        <v>6004</v>
      </c>
      <c r="H110" s="222" t="s">
        <v>1136</v>
      </c>
    </row>
    <row r="111" spans="1:8" ht="18.75" x14ac:dyDescent="0.3">
      <c r="A111" s="179" t="s">
        <v>1019</v>
      </c>
      <c r="B111" s="90" t="s">
        <v>1040</v>
      </c>
      <c r="C111" s="221" t="s">
        <v>491</v>
      </c>
      <c r="D111" s="91">
        <v>12000</v>
      </c>
      <c r="E111" s="91">
        <f>1476.6+1476.6+1476.6+1476.6</f>
        <v>5906.4</v>
      </c>
      <c r="F111" s="91"/>
      <c r="G111" s="149">
        <f t="shared" si="1"/>
        <v>6093.6</v>
      </c>
      <c r="H111" s="222" t="s">
        <v>1404</v>
      </c>
    </row>
    <row r="112" spans="1:8" ht="18.75" x14ac:dyDescent="0.3">
      <c r="A112" s="179" t="s">
        <v>650</v>
      </c>
      <c r="B112" s="90" t="s">
        <v>797</v>
      </c>
      <c r="C112" s="221" t="s">
        <v>55</v>
      </c>
      <c r="D112" s="91">
        <v>9000</v>
      </c>
      <c r="E112" s="91">
        <f>1476.6+1476.6+1476.6+1476.6</f>
        <v>5906.4</v>
      </c>
      <c r="F112" s="91"/>
      <c r="G112" s="149">
        <f t="shared" si="1"/>
        <v>3093.6000000000004</v>
      </c>
      <c r="H112" s="222" t="s">
        <v>1404</v>
      </c>
    </row>
    <row r="113" spans="1:8" ht="18.75" x14ac:dyDescent="0.3">
      <c r="A113" s="179" t="s">
        <v>793</v>
      </c>
      <c r="B113" s="90" t="s">
        <v>810</v>
      </c>
      <c r="C113" s="221" t="s">
        <v>492</v>
      </c>
      <c r="D113" s="91">
        <v>30000</v>
      </c>
      <c r="E113" s="91">
        <f>5000+5000+5000+5000</f>
        <v>20000</v>
      </c>
      <c r="F113" s="91"/>
      <c r="G113" s="149">
        <f t="shared" si="1"/>
        <v>10000</v>
      </c>
      <c r="H113" s="222" t="s">
        <v>1261</v>
      </c>
    </row>
    <row r="114" spans="1:8" ht="18.75" x14ac:dyDescent="0.3">
      <c r="A114" s="179" t="s">
        <v>851</v>
      </c>
      <c r="B114" s="90" t="s">
        <v>852</v>
      </c>
      <c r="C114" s="221" t="s">
        <v>93</v>
      </c>
      <c r="D114" s="91">
        <v>12000</v>
      </c>
      <c r="E114" s="91">
        <f>1498+1498+1498+1498</f>
        <v>5992</v>
      </c>
      <c r="F114" s="91"/>
      <c r="G114" s="149">
        <f t="shared" si="1"/>
        <v>6008</v>
      </c>
      <c r="H114" s="222" t="s">
        <v>1405</v>
      </c>
    </row>
    <row r="115" spans="1:8" ht="18.75" x14ac:dyDescent="0.3">
      <c r="A115" s="179" t="s">
        <v>1058</v>
      </c>
      <c r="B115" s="90" t="s">
        <v>852</v>
      </c>
      <c r="C115" s="221" t="s">
        <v>493</v>
      </c>
      <c r="D115" s="91">
        <v>9000</v>
      </c>
      <c r="E115" s="91">
        <f>1476.6+1476.6+1476.6+1476.6</f>
        <v>5906.4</v>
      </c>
      <c r="F115" s="91"/>
      <c r="G115" s="149">
        <f t="shared" si="1"/>
        <v>3093.6000000000004</v>
      </c>
      <c r="H115" s="222" t="s">
        <v>1405</v>
      </c>
    </row>
    <row r="116" spans="1:8" ht="18.75" x14ac:dyDescent="0.3">
      <c r="A116" s="179"/>
      <c r="B116" s="90">
        <v>97</v>
      </c>
      <c r="C116" s="389" t="s">
        <v>494</v>
      </c>
      <c r="D116" s="390">
        <v>9000</v>
      </c>
      <c r="E116" s="390"/>
      <c r="F116" s="390"/>
      <c r="G116" s="391">
        <f t="shared" si="1"/>
        <v>9000</v>
      </c>
      <c r="H116" s="392" t="s">
        <v>561</v>
      </c>
    </row>
    <row r="117" spans="1:8" ht="18.75" x14ac:dyDescent="0.3">
      <c r="A117" s="179" t="s">
        <v>650</v>
      </c>
      <c r="B117" s="90" t="s">
        <v>797</v>
      </c>
      <c r="C117" s="221" t="s">
        <v>495</v>
      </c>
      <c r="D117" s="91">
        <v>21000</v>
      </c>
      <c r="E117" s="91">
        <f>3317+3317+3317+3317</f>
        <v>13268</v>
      </c>
      <c r="F117" s="91"/>
      <c r="G117" s="149">
        <f t="shared" si="1"/>
        <v>7732</v>
      </c>
      <c r="H117" s="222" t="s">
        <v>1136</v>
      </c>
    </row>
    <row r="118" spans="1:8" ht="18.75" x14ac:dyDescent="0.3">
      <c r="A118" s="179" t="s">
        <v>885</v>
      </c>
      <c r="B118" s="90" t="s">
        <v>895</v>
      </c>
      <c r="C118" s="221" t="s">
        <v>65</v>
      </c>
      <c r="D118" s="91">
        <v>21000</v>
      </c>
      <c r="E118" s="91">
        <f>2996+2996+2996+2996</f>
        <v>11984</v>
      </c>
      <c r="F118" s="91"/>
      <c r="G118" s="149">
        <f t="shared" si="1"/>
        <v>9016</v>
      </c>
      <c r="H118" s="222" t="s">
        <v>1136</v>
      </c>
    </row>
    <row r="119" spans="1:8" ht="18.75" x14ac:dyDescent="0.3">
      <c r="A119" s="179" t="s">
        <v>650</v>
      </c>
      <c r="B119" s="90" t="s">
        <v>797</v>
      </c>
      <c r="C119" s="221" t="s">
        <v>496</v>
      </c>
      <c r="D119" s="91">
        <v>9000</v>
      </c>
      <c r="E119" s="91">
        <f>749+749+749+749</f>
        <v>2996</v>
      </c>
      <c r="F119" s="91"/>
      <c r="G119" s="149">
        <f t="shared" si="1"/>
        <v>6004</v>
      </c>
      <c r="H119" s="222" t="s">
        <v>1404</v>
      </c>
    </row>
    <row r="120" spans="1:8" ht="18.75" x14ac:dyDescent="0.3">
      <c r="A120" s="179"/>
      <c r="B120" s="90">
        <v>101</v>
      </c>
      <c r="C120" s="389" t="s">
        <v>497</v>
      </c>
      <c r="D120" s="390">
        <v>9000</v>
      </c>
      <c r="E120" s="390"/>
      <c r="F120" s="390"/>
      <c r="G120" s="391">
        <f t="shared" si="1"/>
        <v>9000</v>
      </c>
      <c r="H120" s="392" t="s">
        <v>1060</v>
      </c>
    </row>
    <row r="121" spans="1:8" ht="18.75" x14ac:dyDescent="0.3">
      <c r="A121" s="179" t="s">
        <v>650</v>
      </c>
      <c r="B121" s="90" t="s">
        <v>796</v>
      </c>
      <c r="C121" s="221" t="s">
        <v>498</v>
      </c>
      <c r="D121" s="91">
        <v>9000</v>
      </c>
      <c r="E121" s="91">
        <f>1300+1300+1300+1300</f>
        <v>5200</v>
      </c>
      <c r="F121" s="91"/>
      <c r="G121" s="149">
        <f t="shared" si="1"/>
        <v>3800</v>
      </c>
      <c r="H121" s="222" t="s">
        <v>1404</v>
      </c>
    </row>
    <row r="122" spans="1:8" x14ac:dyDescent="0.3">
      <c r="A122" s="179" t="s">
        <v>650</v>
      </c>
      <c r="B122" s="90" t="s">
        <v>798</v>
      </c>
      <c r="C122" s="224" t="s">
        <v>499</v>
      </c>
      <c r="D122" s="91">
        <v>12000</v>
      </c>
      <c r="E122" s="91">
        <f>1904.6+1904.6+1904.6+1904.6</f>
        <v>7618.4</v>
      </c>
      <c r="F122" s="91"/>
      <c r="G122" s="149">
        <f t="shared" si="1"/>
        <v>4381.6000000000004</v>
      </c>
      <c r="H122" s="222" t="s">
        <v>1405</v>
      </c>
    </row>
    <row r="123" spans="1:8" ht="18.75" x14ac:dyDescent="0.3">
      <c r="A123" s="179" t="s">
        <v>650</v>
      </c>
      <c r="B123" s="90" t="s">
        <v>797</v>
      </c>
      <c r="C123" s="221" t="s">
        <v>500</v>
      </c>
      <c r="D123" s="91">
        <v>9000</v>
      </c>
      <c r="E123" s="91">
        <f>1498+1498+1498+1498</f>
        <v>5992</v>
      </c>
      <c r="F123" s="91"/>
      <c r="G123" s="149">
        <f t="shared" si="1"/>
        <v>3008</v>
      </c>
      <c r="H123" s="222" t="s">
        <v>1259</v>
      </c>
    </row>
    <row r="124" spans="1:8" ht="18.75" x14ac:dyDescent="0.3">
      <c r="A124" s="179" t="s">
        <v>650</v>
      </c>
      <c r="B124" s="90" t="s">
        <v>797</v>
      </c>
      <c r="C124" s="221" t="s">
        <v>92</v>
      </c>
      <c r="D124" s="91">
        <v>21000</v>
      </c>
      <c r="E124" s="91">
        <f>3424+3424+3424+3424</f>
        <v>13696</v>
      </c>
      <c r="F124" s="91"/>
      <c r="G124" s="149">
        <f t="shared" si="1"/>
        <v>7304</v>
      </c>
      <c r="H124" s="222" t="s">
        <v>1136</v>
      </c>
    </row>
    <row r="125" spans="1:8" ht="18.75" x14ac:dyDescent="0.3">
      <c r="A125" s="179"/>
      <c r="B125" s="90">
        <v>106</v>
      </c>
      <c r="C125" s="389" t="s">
        <v>501</v>
      </c>
      <c r="D125" s="390">
        <v>9000</v>
      </c>
      <c r="E125" s="390"/>
      <c r="F125" s="390"/>
      <c r="G125" s="391">
        <f t="shared" si="1"/>
        <v>9000</v>
      </c>
      <c r="H125" s="392" t="s">
        <v>1154</v>
      </c>
    </row>
    <row r="126" spans="1:8" ht="18.75" x14ac:dyDescent="0.3">
      <c r="A126" s="179" t="s">
        <v>650</v>
      </c>
      <c r="B126" s="90" t="s">
        <v>797</v>
      </c>
      <c r="C126" s="221" t="s">
        <v>502</v>
      </c>
      <c r="D126" s="91">
        <v>9000</v>
      </c>
      <c r="E126" s="91">
        <f>1498+1498+1498+1498</f>
        <v>5992</v>
      </c>
      <c r="F126" s="91"/>
      <c r="G126" s="149">
        <f t="shared" si="1"/>
        <v>3008</v>
      </c>
      <c r="H126" s="222" t="s">
        <v>1136</v>
      </c>
    </row>
    <row r="127" spans="1:8" ht="18.75" x14ac:dyDescent="0.3">
      <c r="A127" s="179" t="s">
        <v>650</v>
      </c>
      <c r="B127" s="90" t="s">
        <v>797</v>
      </c>
      <c r="C127" s="221" t="s">
        <v>90</v>
      </c>
      <c r="D127" s="91">
        <v>12000</v>
      </c>
      <c r="E127" s="91">
        <f>631.3+1284+1284+1284</f>
        <v>4483.3</v>
      </c>
      <c r="F127" s="91"/>
      <c r="G127" s="149">
        <f t="shared" si="1"/>
        <v>7516.7</v>
      </c>
      <c r="H127" s="222" t="s">
        <v>1136</v>
      </c>
    </row>
    <row r="128" spans="1:8" ht="18.75" x14ac:dyDescent="0.3">
      <c r="A128" s="179"/>
      <c r="B128" s="90">
        <v>109</v>
      </c>
      <c r="C128" s="389" t="s">
        <v>503</v>
      </c>
      <c r="D128" s="390">
        <v>9000</v>
      </c>
      <c r="E128" s="390"/>
      <c r="F128" s="390"/>
      <c r="G128" s="391">
        <f t="shared" si="1"/>
        <v>9000</v>
      </c>
      <c r="H128" s="392" t="s">
        <v>1154</v>
      </c>
    </row>
    <row r="129" spans="1:8" ht="18.75" x14ac:dyDescent="0.3">
      <c r="A129" s="179" t="s">
        <v>1019</v>
      </c>
      <c r="B129" s="90" t="s">
        <v>1041</v>
      </c>
      <c r="C129" s="221" t="s">
        <v>98</v>
      </c>
      <c r="D129" s="91">
        <v>12000</v>
      </c>
      <c r="E129" s="91">
        <f>1926+1926+1926+1926</f>
        <v>7704</v>
      </c>
      <c r="F129" s="91"/>
      <c r="G129" s="149">
        <f t="shared" si="1"/>
        <v>4296</v>
      </c>
      <c r="H129" s="222" t="s">
        <v>1136</v>
      </c>
    </row>
    <row r="130" spans="1:8" ht="18.75" x14ac:dyDescent="0.3">
      <c r="A130" s="179" t="s">
        <v>650</v>
      </c>
      <c r="B130" s="90" t="s">
        <v>797</v>
      </c>
      <c r="C130" s="221" t="s">
        <v>504</v>
      </c>
      <c r="D130" s="91">
        <v>9000</v>
      </c>
      <c r="E130" s="91">
        <f>749+749+749+749</f>
        <v>2996</v>
      </c>
      <c r="F130" s="91"/>
      <c r="G130" s="149">
        <f t="shared" si="1"/>
        <v>6004</v>
      </c>
      <c r="H130" s="222" t="s">
        <v>1136</v>
      </c>
    </row>
    <row r="131" spans="1:8" ht="18.75" x14ac:dyDescent="0.3">
      <c r="A131" s="179" t="s">
        <v>650</v>
      </c>
      <c r="B131" s="90" t="s">
        <v>797</v>
      </c>
      <c r="C131" s="221" t="s">
        <v>505</v>
      </c>
      <c r="D131" s="91">
        <v>9000</v>
      </c>
      <c r="E131" s="91">
        <f>1498+1498+1498+1498</f>
        <v>5992</v>
      </c>
      <c r="F131" s="91"/>
      <c r="G131" s="149">
        <f t="shared" si="1"/>
        <v>3008</v>
      </c>
      <c r="H131" s="222" t="s">
        <v>1136</v>
      </c>
    </row>
    <row r="132" spans="1:8" ht="18.75" x14ac:dyDescent="0.3">
      <c r="A132" s="179" t="s">
        <v>851</v>
      </c>
      <c r="B132" s="90" t="s">
        <v>854</v>
      </c>
      <c r="C132" s="221" t="s">
        <v>506</v>
      </c>
      <c r="D132" s="91">
        <v>12000</v>
      </c>
      <c r="E132" s="91">
        <f>1808.3+1808.3+1808.3+1808.3</f>
        <v>7233.2</v>
      </c>
      <c r="F132" s="91"/>
      <c r="G132" s="149">
        <f t="shared" si="1"/>
        <v>4766.8</v>
      </c>
      <c r="H132" s="222" t="s">
        <v>1136</v>
      </c>
    </row>
    <row r="133" spans="1:8" ht="18.75" x14ac:dyDescent="0.3">
      <c r="A133" s="179" t="s">
        <v>851</v>
      </c>
      <c r="B133" s="90" t="s">
        <v>853</v>
      </c>
      <c r="C133" s="221" t="s">
        <v>507</v>
      </c>
      <c r="D133" s="91">
        <v>21000</v>
      </c>
      <c r="E133" s="91">
        <f>3424+3424+3424+3424</f>
        <v>13696</v>
      </c>
      <c r="F133" s="91"/>
      <c r="G133" s="149">
        <f t="shared" si="1"/>
        <v>7304</v>
      </c>
      <c r="H133" s="222" t="s">
        <v>1136</v>
      </c>
    </row>
    <row r="134" spans="1:8" ht="18.75" x14ac:dyDescent="0.3">
      <c r="A134" s="179" t="s">
        <v>650</v>
      </c>
      <c r="B134" s="90" t="s">
        <v>797</v>
      </c>
      <c r="C134" s="221" t="s">
        <v>99</v>
      </c>
      <c r="D134" s="91">
        <v>9000</v>
      </c>
      <c r="E134" s="91">
        <f>749+749+749+749</f>
        <v>2996</v>
      </c>
      <c r="F134" s="91"/>
      <c r="G134" s="149">
        <f t="shared" si="1"/>
        <v>6004</v>
      </c>
      <c r="H134" s="222" t="s">
        <v>1136</v>
      </c>
    </row>
    <row r="135" spans="1:8" ht="18.75" x14ac:dyDescent="0.3">
      <c r="A135" s="179"/>
      <c r="B135" s="90">
        <v>116</v>
      </c>
      <c r="C135" s="221" t="s">
        <v>508</v>
      </c>
      <c r="D135" s="91">
        <v>9000</v>
      </c>
      <c r="E135" s="91">
        <f>1369.6+1369.6+1369.6+1369.6</f>
        <v>5478.4</v>
      </c>
      <c r="F135" s="91"/>
      <c r="G135" s="149">
        <f t="shared" si="1"/>
        <v>3521.6000000000004</v>
      </c>
      <c r="H135" s="222" t="s">
        <v>1404</v>
      </c>
    </row>
    <row r="136" spans="1:8" ht="18.75" x14ac:dyDescent="0.3">
      <c r="A136" s="179" t="s">
        <v>793</v>
      </c>
      <c r="B136" s="90" t="s">
        <v>811</v>
      </c>
      <c r="C136" s="221" t="s">
        <v>88</v>
      </c>
      <c r="D136" s="91">
        <v>21000</v>
      </c>
      <c r="E136" s="91">
        <f>3498.9+3498.9+3498.9+3498.9</f>
        <v>13995.6</v>
      </c>
      <c r="F136" s="91"/>
      <c r="G136" s="149">
        <f t="shared" si="1"/>
        <v>7004.4</v>
      </c>
      <c r="H136" s="222" t="s">
        <v>1136</v>
      </c>
    </row>
    <row r="137" spans="1:8" ht="18.75" x14ac:dyDescent="0.3">
      <c r="A137" s="179" t="s">
        <v>650</v>
      </c>
      <c r="B137" s="90" t="s">
        <v>797</v>
      </c>
      <c r="C137" s="221" t="s">
        <v>60</v>
      </c>
      <c r="D137" s="91">
        <v>9000</v>
      </c>
      <c r="E137" s="91">
        <f>631.3+631.3+631.3+631.3</f>
        <v>2525.1999999999998</v>
      </c>
      <c r="F137" s="91"/>
      <c r="G137" s="149">
        <f t="shared" si="1"/>
        <v>6474.8</v>
      </c>
      <c r="H137" s="222" t="s">
        <v>1136</v>
      </c>
    </row>
    <row r="138" spans="1:8" ht="18.75" x14ac:dyDescent="0.3">
      <c r="A138" s="179" t="s">
        <v>885</v>
      </c>
      <c r="B138" s="90" t="s">
        <v>897</v>
      </c>
      <c r="C138" s="221" t="s">
        <v>509</v>
      </c>
      <c r="D138" s="91">
        <v>21000</v>
      </c>
      <c r="E138" s="91">
        <f>3424+3424+3424+3424</f>
        <v>13696</v>
      </c>
      <c r="F138" s="91"/>
      <c r="G138" s="149">
        <f t="shared" si="1"/>
        <v>7304</v>
      </c>
      <c r="H138" s="222" t="s">
        <v>1404</v>
      </c>
    </row>
    <row r="139" spans="1:8" ht="18.75" x14ac:dyDescent="0.3">
      <c r="A139" s="179" t="s">
        <v>650</v>
      </c>
      <c r="B139" s="90" t="s">
        <v>797</v>
      </c>
      <c r="C139" s="221" t="s">
        <v>510</v>
      </c>
      <c r="D139" s="91">
        <v>12000</v>
      </c>
      <c r="E139" s="91">
        <f>1926+1926+1926+1926</f>
        <v>7704</v>
      </c>
      <c r="F139" s="91"/>
      <c r="G139" s="149">
        <f t="shared" si="1"/>
        <v>4296</v>
      </c>
      <c r="H139" s="222" t="s">
        <v>1136</v>
      </c>
    </row>
    <row r="140" spans="1:8" ht="18.75" x14ac:dyDescent="0.3">
      <c r="A140" s="179"/>
      <c r="B140" s="90">
        <v>121</v>
      </c>
      <c r="C140" s="221" t="s">
        <v>511</v>
      </c>
      <c r="D140" s="91">
        <v>9000</v>
      </c>
      <c r="E140" s="91">
        <f>738.3+738.3+738.3+738.3</f>
        <v>2953.2</v>
      </c>
      <c r="F140" s="91"/>
      <c r="G140" s="149">
        <f t="shared" si="1"/>
        <v>6046.8</v>
      </c>
      <c r="H140" s="222" t="s">
        <v>1404</v>
      </c>
    </row>
    <row r="141" spans="1:8" ht="18.75" x14ac:dyDescent="0.3">
      <c r="A141" s="179" t="s">
        <v>650</v>
      </c>
      <c r="B141" s="90" t="s">
        <v>798</v>
      </c>
      <c r="C141" s="221" t="s">
        <v>100</v>
      </c>
      <c r="D141" s="91">
        <v>12000</v>
      </c>
      <c r="E141" s="91">
        <f>1476.6+1476.6+1476.6+1476.6</f>
        <v>5906.4</v>
      </c>
      <c r="F141" s="91"/>
      <c r="G141" s="149">
        <f t="shared" si="1"/>
        <v>6093.6</v>
      </c>
      <c r="H141" s="222" t="s">
        <v>1404</v>
      </c>
    </row>
    <row r="142" spans="1:8" ht="18.75" x14ac:dyDescent="0.3">
      <c r="A142" s="179" t="s">
        <v>1059</v>
      </c>
      <c r="B142" s="90" t="s">
        <v>797</v>
      </c>
      <c r="C142" s="221" t="s">
        <v>512</v>
      </c>
      <c r="D142" s="91">
        <v>9000</v>
      </c>
      <c r="E142" s="91">
        <f>952.3+952.3+952.3+952.3</f>
        <v>3809.2</v>
      </c>
      <c r="F142" s="91"/>
      <c r="G142" s="149">
        <f t="shared" si="1"/>
        <v>5190.8</v>
      </c>
      <c r="H142" s="222" t="s">
        <v>1404</v>
      </c>
    </row>
    <row r="143" spans="1:8" ht="18.75" x14ac:dyDescent="0.3">
      <c r="A143" s="179" t="s">
        <v>650</v>
      </c>
      <c r="B143" s="90" t="s">
        <v>798</v>
      </c>
      <c r="C143" s="221" t="s">
        <v>513</v>
      </c>
      <c r="D143" s="91">
        <v>9000</v>
      </c>
      <c r="E143" s="91">
        <f>1476.6+1476.6+1476.6+1476.6</f>
        <v>5906.4</v>
      </c>
      <c r="F143" s="91"/>
      <c r="G143" s="149">
        <f t="shared" si="1"/>
        <v>3093.6000000000004</v>
      </c>
      <c r="H143" s="222" t="s">
        <v>1404</v>
      </c>
    </row>
    <row r="144" spans="1:8" ht="18.75" x14ac:dyDescent="0.3">
      <c r="A144" s="179" t="s">
        <v>851</v>
      </c>
      <c r="B144" s="90" t="s">
        <v>852</v>
      </c>
      <c r="C144" s="397" t="s">
        <v>514</v>
      </c>
      <c r="D144" s="91">
        <v>9000</v>
      </c>
      <c r="E144" s="91">
        <f>1449.68+1498+1498+1498</f>
        <v>5943.68</v>
      </c>
      <c r="F144" s="91"/>
      <c r="G144" s="149">
        <f t="shared" si="1"/>
        <v>3056.3199999999997</v>
      </c>
      <c r="H144" s="222" t="s">
        <v>1404</v>
      </c>
    </row>
    <row r="145" spans="1:8" ht="18.75" x14ac:dyDescent="0.3">
      <c r="A145" s="179" t="s">
        <v>650</v>
      </c>
      <c r="B145" s="90" t="s">
        <v>798</v>
      </c>
      <c r="C145" s="221" t="s">
        <v>515</v>
      </c>
      <c r="D145" s="91">
        <v>12000</v>
      </c>
      <c r="E145" s="91">
        <f>1904.6+1904.6+1904.6+1904.6</f>
        <v>7618.4</v>
      </c>
      <c r="F145" s="91"/>
      <c r="G145" s="149">
        <f t="shared" si="1"/>
        <v>4381.6000000000004</v>
      </c>
      <c r="H145" s="222" t="s">
        <v>1404</v>
      </c>
    </row>
    <row r="146" spans="1:8" ht="18.75" x14ac:dyDescent="0.3">
      <c r="A146" s="179" t="s">
        <v>650</v>
      </c>
      <c r="B146" s="90" t="s">
        <v>798</v>
      </c>
      <c r="C146" s="221" t="s">
        <v>516</v>
      </c>
      <c r="D146" s="91">
        <v>9000</v>
      </c>
      <c r="E146" s="91">
        <f>952.3+952.3+952.3+952.3</f>
        <v>3809.2</v>
      </c>
      <c r="F146" s="91"/>
      <c r="G146" s="149">
        <f t="shared" si="1"/>
        <v>5190.8</v>
      </c>
      <c r="H146" s="222" t="s">
        <v>1404</v>
      </c>
    </row>
    <row r="147" spans="1:8" ht="18.75" x14ac:dyDescent="0.3">
      <c r="A147" s="179" t="s">
        <v>650</v>
      </c>
      <c r="B147" s="90" t="s">
        <v>797</v>
      </c>
      <c r="C147" s="221" t="s">
        <v>517</v>
      </c>
      <c r="D147" s="91">
        <v>9000</v>
      </c>
      <c r="E147" s="91">
        <f>1498+1498+1498+1498</f>
        <v>5992</v>
      </c>
      <c r="F147" s="91"/>
      <c r="G147" s="149">
        <f t="shared" si="1"/>
        <v>3008</v>
      </c>
      <c r="H147" s="222" t="s">
        <v>1136</v>
      </c>
    </row>
    <row r="148" spans="1:8" ht="18.75" x14ac:dyDescent="0.3">
      <c r="A148" s="179" t="s">
        <v>650</v>
      </c>
      <c r="B148" s="90" t="s">
        <v>797</v>
      </c>
      <c r="C148" s="221" t="s">
        <v>518</v>
      </c>
      <c r="D148" s="91">
        <v>9000</v>
      </c>
      <c r="E148" s="91">
        <f>1498+1498+1498+1498</f>
        <v>5992</v>
      </c>
      <c r="F148" s="91"/>
      <c r="G148" s="149">
        <f t="shared" si="1"/>
        <v>3008</v>
      </c>
      <c r="H148" s="222" t="s">
        <v>1136</v>
      </c>
    </row>
    <row r="149" spans="1:8" ht="18.75" x14ac:dyDescent="0.3">
      <c r="A149" s="179" t="s">
        <v>650</v>
      </c>
      <c r="B149" s="90" t="s">
        <v>797</v>
      </c>
      <c r="C149" s="221" t="s">
        <v>519</v>
      </c>
      <c r="D149" s="91">
        <v>9000</v>
      </c>
      <c r="E149" s="91">
        <f>1498+1498+1498+1498</f>
        <v>5992</v>
      </c>
      <c r="F149" s="91"/>
      <c r="G149" s="149">
        <f t="shared" ref="G149:G212" si="2">D149-E149</f>
        <v>3008</v>
      </c>
      <c r="H149" s="222" t="s">
        <v>1136</v>
      </c>
    </row>
    <row r="150" spans="1:8" ht="18.75" x14ac:dyDescent="0.3">
      <c r="A150" s="179" t="s">
        <v>1059</v>
      </c>
      <c r="B150" s="90" t="s">
        <v>798</v>
      </c>
      <c r="C150" s="221" t="s">
        <v>520</v>
      </c>
      <c r="D150" s="91">
        <v>12000</v>
      </c>
      <c r="E150" s="91">
        <f>909.5+909.5+909.5+909.5</f>
        <v>3638</v>
      </c>
      <c r="F150" s="91"/>
      <c r="G150" s="149">
        <f t="shared" si="2"/>
        <v>8362</v>
      </c>
      <c r="H150" s="222" t="s">
        <v>1404</v>
      </c>
    </row>
    <row r="151" spans="1:8" ht="18.75" x14ac:dyDescent="0.3">
      <c r="A151" s="179" t="s">
        <v>650</v>
      </c>
      <c r="B151" s="90" t="s">
        <v>797</v>
      </c>
      <c r="C151" s="221" t="s">
        <v>521</v>
      </c>
      <c r="D151" s="91">
        <v>12000</v>
      </c>
      <c r="E151" s="91">
        <f>1926+1926+1926+1926</f>
        <v>7704</v>
      </c>
      <c r="F151" s="91"/>
      <c r="G151" s="149">
        <f t="shared" si="2"/>
        <v>4296</v>
      </c>
      <c r="H151" s="222" t="s">
        <v>1136</v>
      </c>
    </row>
    <row r="152" spans="1:8" ht="18.75" x14ac:dyDescent="0.3">
      <c r="A152" s="179" t="s">
        <v>650</v>
      </c>
      <c r="B152" s="90" t="s">
        <v>798</v>
      </c>
      <c r="C152" s="221" t="s">
        <v>522</v>
      </c>
      <c r="D152" s="91">
        <v>9000</v>
      </c>
      <c r="E152" s="91">
        <f>952.3+952.3+952.3+952.3</f>
        <v>3809.2</v>
      </c>
      <c r="F152" s="91"/>
      <c r="G152" s="149">
        <f t="shared" si="2"/>
        <v>5190.8</v>
      </c>
      <c r="H152" s="222" t="s">
        <v>1404</v>
      </c>
    </row>
    <row r="153" spans="1:8" ht="18.75" x14ac:dyDescent="0.3">
      <c r="A153" s="179" t="s">
        <v>650</v>
      </c>
      <c r="B153" s="90" t="s">
        <v>798</v>
      </c>
      <c r="C153" s="221" t="s">
        <v>523</v>
      </c>
      <c r="D153" s="91">
        <v>9000</v>
      </c>
      <c r="E153" s="91">
        <f>1476.6+1476.6+1476.6+1476.6</f>
        <v>5906.4</v>
      </c>
      <c r="F153" s="91"/>
      <c r="G153" s="149">
        <f t="shared" si="2"/>
        <v>3093.6000000000004</v>
      </c>
      <c r="H153" s="222" t="s">
        <v>1404</v>
      </c>
    </row>
    <row r="154" spans="1:8" ht="18.75" x14ac:dyDescent="0.3">
      <c r="A154" s="179" t="s">
        <v>793</v>
      </c>
      <c r="B154" s="90" t="s">
        <v>809</v>
      </c>
      <c r="C154" s="221" t="s">
        <v>524</v>
      </c>
      <c r="D154" s="91">
        <v>9000</v>
      </c>
      <c r="E154" s="91">
        <f>1389.93+1389.93+1389.93+1389.93</f>
        <v>5559.72</v>
      </c>
      <c r="F154" s="91"/>
      <c r="G154" s="149">
        <f t="shared" si="2"/>
        <v>3440.2799999999997</v>
      </c>
      <c r="H154" s="222" t="s">
        <v>1136</v>
      </c>
    </row>
    <row r="155" spans="1:8" ht="18.75" x14ac:dyDescent="0.3">
      <c r="A155" s="179" t="s">
        <v>650</v>
      </c>
      <c r="B155" s="90" t="s">
        <v>797</v>
      </c>
      <c r="C155" s="221" t="s">
        <v>525</v>
      </c>
      <c r="D155" s="91">
        <v>9000</v>
      </c>
      <c r="E155" s="91">
        <f>1498+1498+1498+1498</f>
        <v>5992</v>
      </c>
      <c r="F155" s="91"/>
      <c r="G155" s="149">
        <f t="shared" si="2"/>
        <v>3008</v>
      </c>
      <c r="H155" s="222" t="s">
        <v>1136</v>
      </c>
    </row>
    <row r="156" spans="1:8" ht="18.75" x14ac:dyDescent="0.3">
      <c r="A156" s="179" t="s">
        <v>650</v>
      </c>
      <c r="B156" s="90" t="s">
        <v>797</v>
      </c>
      <c r="C156" s="221" t="s">
        <v>526</v>
      </c>
      <c r="D156" s="91">
        <v>12000</v>
      </c>
      <c r="E156" s="91">
        <f>1498+1498+1498+1498</f>
        <v>5992</v>
      </c>
      <c r="F156" s="91"/>
      <c r="G156" s="149">
        <f t="shared" si="2"/>
        <v>6008</v>
      </c>
      <c r="H156" s="222" t="s">
        <v>1136</v>
      </c>
    </row>
    <row r="157" spans="1:8" ht="18.75" x14ac:dyDescent="0.3">
      <c r="A157" s="179" t="s">
        <v>650</v>
      </c>
      <c r="B157" s="90" t="s">
        <v>796</v>
      </c>
      <c r="C157" s="221" t="s">
        <v>57</v>
      </c>
      <c r="D157" s="91">
        <v>12000</v>
      </c>
      <c r="E157" s="91">
        <f>1808.3+1808.3+1808.3+1808.3</f>
        <v>7233.2</v>
      </c>
      <c r="F157" s="91"/>
      <c r="G157" s="149">
        <f t="shared" si="2"/>
        <v>4766.8</v>
      </c>
      <c r="H157" s="222" t="s">
        <v>1404</v>
      </c>
    </row>
    <row r="158" spans="1:8" ht="18.75" x14ac:dyDescent="0.3">
      <c r="A158" s="179" t="s">
        <v>650</v>
      </c>
      <c r="B158" s="90" t="s">
        <v>797</v>
      </c>
      <c r="C158" s="221" t="s">
        <v>89</v>
      </c>
      <c r="D158" s="91">
        <v>9000</v>
      </c>
      <c r="E158" s="91">
        <f>1498+1498+1498+1498</f>
        <v>5992</v>
      </c>
      <c r="F158" s="91"/>
      <c r="G158" s="149">
        <f t="shared" si="2"/>
        <v>3008</v>
      </c>
      <c r="H158" s="222" t="s">
        <v>1404</v>
      </c>
    </row>
    <row r="159" spans="1:8" ht="18.75" x14ac:dyDescent="0.3">
      <c r="A159" s="179" t="s">
        <v>793</v>
      </c>
      <c r="B159" s="90" t="s">
        <v>811</v>
      </c>
      <c r="C159" s="221" t="s">
        <v>527</v>
      </c>
      <c r="D159" s="91">
        <v>9000</v>
      </c>
      <c r="E159" s="91">
        <f>1498+1498+1498+1498</f>
        <v>5992</v>
      </c>
      <c r="F159" s="91"/>
      <c r="G159" s="149">
        <f t="shared" si="2"/>
        <v>3008</v>
      </c>
      <c r="H159" s="222" t="s">
        <v>1136</v>
      </c>
    </row>
    <row r="160" spans="1:8" ht="18.75" x14ac:dyDescent="0.3">
      <c r="A160" s="179" t="s">
        <v>851</v>
      </c>
      <c r="B160" s="90">
        <v>70</v>
      </c>
      <c r="C160" s="221" t="s">
        <v>528</v>
      </c>
      <c r="D160" s="91">
        <v>12000</v>
      </c>
      <c r="E160" s="91">
        <f>1498+1498+1498+1498</f>
        <v>5992</v>
      </c>
      <c r="F160" s="91"/>
      <c r="G160" s="149">
        <f t="shared" si="2"/>
        <v>6008</v>
      </c>
      <c r="H160" s="222" t="s">
        <v>1404</v>
      </c>
    </row>
    <row r="161" spans="1:8" ht="18.75" x14ac:dyDescent="0.3">
      <c r="A161" s="179" t="s">
        <v>650</v>
      </c>
      <c r="B161" s="90" t="s">
        <v>796</v>
      </c>
      <c r="C161" s="221" t="s">
        <v>66</v>
      </c>
      <c r="D161" s="91">
        <v>12000</v>
      </c>
      <c r="E161" s="91">
        <f>1808.3+1808.3+1808.3+1808.3</f>
        <v>7233.2</v>
      </c>
      <c r="F161" s="91"/>
      <c r="G161" s="149">
        <f t="shared" si="2"/>
        <v>4766.8</v>
      </c>
      <c r="H161" s="222" t="s">
        <v>1259</v>
      </c>
    </row>
    <row r="162" spans="1:8" ht="18.75" x14ac:dyDescent="0.3">
      <c r="A162" s="179" t="s">
        <v>650</v>
      </c>
      <c r="B162" s="90" t="s">
        <v>796</v>
      </c>
      <c r="C162" s="221" t="s">
        <v>529</v>
      </c>
      <c r="D162" s="91">
        <v>9000</v>
      </c>
      <c r="E162" s="91">
        <f>1498+1498+1498+1498</f>
        <v>5992</v>
      </c>
      <c r="F162" s="91"/>
      <c r="G162" s="149">
        <f t="shared" si="2"/>
        <v>3008</v>
      </c>
      <c r="H162" s="222" t="s">
        <v>1259</v>
      </c>
    </row>
    <row r="163" spans="1:8" x14ac:dyDescent="0.3">
      <c r="A163" s="179" t="s">
        <v>1019</v>
      </c>
      <c r="B163" s="90" t="s">
        <v>1042</v>
      </c>
      <c r="C163" s="224" t="s">
        <v>530</v>
      </c>
      <c r="D163" s="91">
        <v>12000</v>
      </c>
      <c r="E163" s="91">
        <f>1600+1600+1600</f>
        <v>4800</v>
      </c>
      <c r="F163" s="91"/>
      <c r="G163" s="149">
        <f t="shared" si="2"/>
        <v>7200</v>
      </c>
      <c r="H163" s="222" t="s">
        <v>1260</v>
      </c>
    </row>
    <row r="164" spans="1:8" ht="18.75" x14ac:dyDescent="0.3">
      <c r="A164" s="179" t="s">
        <v>650</v>
      </c>
      <c r="B164" s="90" t="s">
        <v>798</v>
      </c>
      <c r="C164" s="221" t="s">
        <v>531</v>
      </c>
      <c r="D164" s="91">
        <v>21000</v>
      </c>
      <c r="E164" s="91">
        <f>738.3+738.3+738.3+738.3</f>
        <v>2953.2</v>
      </c>
      <c r="F164" s="91"/>
      <c r="G164" s="149">
        <f t="shared" si="2"/>
        <v>18046.8</v>
      </c>
      <c r="H164" s="222" t="s">
        <v>1405</v>
      </c>
    </row>
    <row r="165" spans="1:8" ht="18.75" x14ac:dyDescent="0.3">
      <c r="A165" s="179" t="s">
        <v>851</v>
      </c>
      <c r="B165" s="90" t="s">
        <v>853</v>
      </c>
      <c r="C165" s="221" t="s">
        <v>532</v>
      </c>
      <c r="D165" s="91">
        <v>12000</v>
      </c>
      <c r="E165" s="91">
        <f>749+749+749+749</f>
        <v>2996</v>
      </c>
      <c r="F165" s="91"/>
      <c r="G165" s="149">
        <f t="shared" si="2"/>
        <v>9004</v>
      </c>
      <c r="H165" s="222" t="s">
        <v>1259</v>
      </c>
    </row>
    <row r="166" spans="1:8" ht="18.75" x14ac:dyDescent="0.3">
      <c r="A166" s="179" t="s">
        <v>1019</v>
      </c>
      <c r="B166" s="90" t="s">
        <v>1041</v>
      </c>
      <c r="C166" s="398" t="s">
        <v>533</v>
      </c>
      <c r="D166" s="91">
        <v>12000</v>
      </c>
      <c r="E166" s="91">
        <f>1836.26+1904.6+1904.6+1904.6</f>
        <v>7550.0599999999995</v>
      </c>
      <c r="F166" s="91"/>
      <c r="G166" s="149">
        <f t="shared" si="2"/>
        <v>4449.9400000000005</v>
      </c>
      <c r="H166" s="222" t="s">
        <v>1405</v>
      </c>
    </row>
    <row r="167" spans="1:8" ht="18.75" x14ac:dyDescent="0.3">
      <c r="A167" s="179" t="s">
        <v>650</v>
      </c>
      <c r="B167" s="90" t="s">
        <v>798</v>
      </c>
      <c r="C167" s="221" t="s">
        <v>58</v>
      </c>
      <c r="D167" s="91">
        <v>9000</v>
      </c>
      <c r="E167" s="91">
        <f>952.3+952.3+952.3+952.3</f>
        <v>3809.2</v>
      </c>
      <c r="F167" s="91"/>
      <c r="G167" s="149">
        <f t="shared" si="2"/>
        <v>5190.8</v>
      </c>
      <c r="H167" s="222" t="s">
        <v>1404</v>
      </c>
    </row>
    <row r="168" spans="1:8" ht="18.75" x14ac:dyDescent="0.3">
      <c r="A168" s="179" t="s">
        <v>1059</v>
      </c>
      <c r="B168" s="90">
        <v>149</v>
      </c>
      <c r="C168" s="221" t="s">
        <v>534</v>
      </c>
      <c r="D168" s="91">
        <v>9000</v>
      </c>
      <c r="E168" s="91">
        <f>1476.6+1476.6+1476.6+1476.6</f>
        <v>5906.4</v>
      </c>
      <c r="F168" s="91"/>
      <c r="G168" s="149">
        <f t="shared" si="2"/>
        <v>3093.6000000000004</v>
      </c>
      <c r="H168" s="222" t="s">
        <v>1404</v>
      </c>
    </row>
    <row r="169" spans="1:8" ht="18.75" x14ac:dyDescent="0.3">
      <c r="A169" s="179"/>
      <c r="B169" s="90">
        <v>150</v>
      </c>
      <c r="C169" s="221" t="s">
        <v>535</v>
      </c>
      <c r="D169" s="91">
        <v>9000</v>
      </c>
      <c r="E169" s="91">
        <f>952.3+952.3+952.3+952.3</f>
        <v>3809.2</v>
      </c>
      <c r="F169" s="91"/>
      <c r="G169" s="149">
        <f t="shared" si="2"/>
        <v>5190.8</v>
      </c>
      <c r="H169" s="222" t="s">
        <v>1404</v>
      </c>
    </row>
    <row r="170" spans="1:8" ht="18.75" x14ac:dyDescent="0.3">
      <c r="A170" s="179" t="s">
        <v>650</v>
      </c>
      <c r="B170" s="90" t="s">
        <v>798</v>
      </c>
      <c r="C170" s="221" t="s">
        <v>465</v>
      </c>
      <c r="D170" s="91">
        <v>9000</v>
      </c>
      <c r="E170" s="91">
        <f>952.3+952.3+952.3+952.3</f>
        <v>3809.2</v>
      </c>
      <c r="F170" s="91"/>
      <c r="G170" s="149">
        <f t="shared" si="2"/>
        <v>5190.8</v>
      </c>
      <c r="H170" s="222" t="s">
        <v>1404</v>
      </c>
    </row>
    <row r="171" spans="1:8" ht="18.75" x14ac:dyDescent="0.3">
      <c r="A171" s="179" t="s">
        <v>650</v>
      </c>
      <c r="B171" s="90" t="s">
        <v>797</v>
      </c>
      <c r="C171" s="221" t="s">
        <v>536</v>
      </c>
      <c r="D171" s="91">
        <v>12000</v>
      </c>
      <c r="E171" s="91">
        <f>1926+1926+1926+1926</f>
        <v>7704</v>
      </c>
      <c r="F171" s="91"/>
      <c r="G171" s="149">
        <f t="shared" si="2"/>
        <v>4296</v>
      </c>
      <c r="H171" s="222" t="s">
        <v>1136</v>
      </c>
    </row>
    <row r="172" spans="1:8" ht="18.75" x14ac:dyDescent="0.3">
      <c r="A172" s="179" t="s">
        <v>650</v>
      </c>
      <c r="B172" s="90" t="s">
        <v>796</v>
      </c>
      <c r="C172" s="221" t="s">
        <v>56</v>
      </c>
      <c r="D172" s="91">
        <v>12000</v>
      </c>
      <c r="E172" s="91">
        <f>1808.3+1808.3+1808.3+1808.3</f>
        <v>7233.2</v>
      </c>
      <c r="F172" s="91"/>
      <c r="G172" s="149">
        <f t="shared" si="2"/>
        <v>4766.8</v>
      </c>
      <c r="H172" s="222" t="s">
        <v>1259</v>
      </c>
    </row>
    <row r="173" spans="1:8" ht="18.75" x14ac:dyDescent="0.3">
      <c r="A173" s="179" t="s">
        <v>650</v>
      </c>
      <c r="B173" s="90" t="s">
        <v>796</v>
      </c>
      <c r="C173" s="221" t="s">
        <v>537</v>
      </c>
      <c r="D173" s="91">
        <v>21000</v>
      </c>
      <c r="E173" s="91">
        <f>3498.9+3498.9+3498.9+3498.9</f>
        <v>13995.6</v>
      </c>
      <c r="F173" s="91"/>
      <c r="G173" s="149">
        <f t="shared" si="2"/>
        <v>7004.4</v>
      </c>
      <c r="H173" s="222" t="s">
        <v>1259</v>
      </c>
    </row>
    <row r="174" spans="1:8" ht="18.75" x14ac:dyDescent="0.3">
      <c r="A174" s="179" t="s">
        <v>851</v>
      </c>
      <c r="B174" s="90" t="s">
        <v>854</v>
      </c>
      <c r="C174" s="221" t="s">
        <v>538</v>
      </c>
      <c r="D174" s="91">
        <v>30000</v>
      </c>
      <c r="E174" s="91">
        <f>4815+4815+4815+4815</f>
        <v>19260</v>
      </c>
      <c r="F174" s="91"/>
      <c r="G174" s="149">
        <f t="shared" si="2"/>
        <v>10740</v>
      </c>
      <c r="H174" s="222" t="s">
        <v>1136</v>
      </c>
    </row>
    <row r="175" spans="1:8" ht="18.75" x14ac:dyDescent="0.3">
      <c r="A175" s="179" t="s">
        <v>650</v>
      </c>
      <c r="B175" s="90" t="s">
        <v>798</v>
      </c>
      <c r="C175" s="221" t="s">
        <v>539</v>
      </c>
      <c r="D175" s="91">
        <v>9000</v>
      </c>
      <c r="E175" s="91">
        <f>952.3+952.3+952.3+952.3</f>
        <v>3809.2</v>
      </c>
      <c r="F175" s="91"/>
      <c r="G175" s="149">
        <f t="shared" si="2"/>
        <v>5190.8</v>
      </c>
      <c r="H175" s="222" t="s">
        <v>1404</v>
      </c>
    </row>
    <row r="176" spans="1:8" ht="18.75" x14ac:dyDescent="0.3">
      <c r="A176" s="179"/>
      <c r="B176" s="90">
        <v>157</v>
      </c>
      <c r="C176" s="221" t="s">
        <v>540</v>
      </c>
      <c r="D176" s="91">
        <v>9000</v>
      </c>
      <c r="E176" s="91">
        <f>738.3+738.3+738.3+738.3</f>
        <v>2953.2</v>
      </c>
      <c r="F176" s="91"/>
      <c r="G176" s="149">
        <f t="shared" si="2"/>
        <v>6046.8</v>
      </c>
      <c r="H176" s="222" t="s">
        <v>1404</v>
      </c>
    </row>
    <row r="177" spans="1:8" ht="18.75" x14ac:dyDescent="0.3">
      <c r="A177" s="179" t="s">
        <v>650</v>
      </c>
      <c r="B177" s="90" t="s">
        <v>796</v>
      </c>
      <c r="C177" s="221" t="s">
        <v>541</v>
      </c>
      <c r="D177" s="91">
        <v>21000</v>
      </c>
      <c r="E177" s="91">
        <f>3000+3000+3000+3000</f>
        <v>12000</v>
      </c>
      <c r="F177" s="91"/>
      <c r="G177" s="149">
        <f t="shared" si="2"/>
        <v>9000</v>
      </c>
      <c r="H177" s="222" t="s">
        <v>1259</v>
      </c>
    </row>
    <row r="178" spans="1:8" ht="18.75" x14ac:dyDescent="0.3">
      <c r="A178" s="179" t="s">
        <v>650</v>
      </c>
      <c r="B178" s="90" t="s">
        <v>798</v>
      </c>
      <c r="C178" s="221" t="s">
        <v>542</v>
      </c>
      <c r="D178" s="91">
        <v>9000</v>
      </c>
      <c r="E178" s="91">
        <f>1166.3+1166.3+1166.3+1166.3</f>
        <v>4665.2</v>
      </c>
      <c r="F178" s="91"/>
      <c r="G178" s="149">
        <f t="shared" si="2"/>
        <v>4334.8</v>
      </c>
      <c r="H178" s="222" t="s">
        <v>1405</v>
      </c>
    </row>
    <row r="179" spans="1:8" ht="18.75" x14ac:dyDescent="0.3">
      <c r="A179" s="179" t="s">
        <v>793</v>
      </c>
      <c r="B179" s="90" t="s">
        <v>812</v>
      </c>
      <c r="C179" s="221" t="s">
        <v>64</v>
      </c>
      <c r="D179" s="91">
        <v>9000</v>
      </c>
      <c r="E179" s="91">
        <f>1498+1498+1498+1498</f>
        <v>5992</v>
      </c>
      <c r="F179" s="91"/>
      <c r="G179" s="149">
        <f t="shared" si="2"/>
        <v>3008</v>
      </c>
      <c r="H179" s="222" t="s">
        <v>1259</v>
      </c>
    </row>
    <row r="180" spans="1:8" ht="18.75" x14ac:dyDescent="0.3">
      <c r="A180" s="179" t="s">
        <v>650</v>
      </c>
      <c r="B180" s="90" t="s">
        <v>796</v>
      </c>
      <c r="C180" s="221" t="s">
        <v>77</v>
      </c>
      <c r="D180" s="91">
        <v>12000</v>
      </c>
      <c r="E180" s="91">
        <f>2000+2000+2000+2000</f>
        <v>8000</v>
      </c>
      <c r="F180" s="91"/>
      <c r="G180" s="149">
        <f t="shared" si="2"/>
        <v>4000</v>
      </c>
      <c r="H180" s="222" t="s">
        <v>1259</v>
      </c>
    </row>
    <row r="181" spans="1:8" ht="18.75" x14ac:dyDescent="0.3">
      <c r="A181" s="179" t="s">
        <v>650</v>
      </c>
      <c r="B181" s="90" t="s">
        <v>798</v>
      </c>
      <c r="C181" s="221" t="s">
        <v>103</v>
      </c>
      <c r="D181" s="91">
        <v>9000</v>
      </c>
      <c r="E181" s="91">
        <f>1476.6+1476.6+1476.6+1476.6</f>
        <v>5906.4</v>
      </c>
      <c r="F181" s="91"/>
      <c r="G181" s="149">
        <f t="shared" si="2"/>
        <v>3093.6000000000004</v>
      </c>
      <c r="H181" s="222" t="s">
        <v>1405</v>
      </c>
    </row>
    <row r="182" spans="1:8" ht="18.75" x14ac:dyDescent="0.3">
      <c r="A182" s="179" t="s">
        <v>885</v>
      </c>
      <c r="B182" s="90" t="s">
        <v>897</v>
      </c>
      <c r="C182" s="221" t="s">
        <v>543</v>
      </c>
      <c r="D182" s="91">
        <v>9000</v>
      </c>
      <c r="E182" s="91">
        <f>1498+1498+1498+1498</f>
        <v>5992</v>
      </c>
      <c r="F182" s="91"/>
      <c r="G182" s="149">
        <f t="shared" si="2"/>
        <v>3008</v>
      </c>
      <c r="H182" s="222" t="s">
        <v>1259</v>
      </c>
    </row>
    <row r="183" spans="1:8" ht="18.75" x14ac:dyDescent="0.3">
      <c r="A183" s="179" t="s">
        <v>650</v>
      </c>
      <c r="B183" s="90" t="s">
        <v>798</v>
      </c>
      <c r="C183" s="221" t="s">
        <v>544</v>
      </c>
      <c r="D183" s="91">
        <v>9000</v>
      </c>
      <c r="E183" s="91">
        <f>1476.6+1476.6+1476.6+1476.6</f>
        <v>5906.4</v>
      </c>
      <c r="F183" s="91"/>
      <c r="G183" s="149">
        <f t="shared" si="2"/>
        <v>3093.6000000000004</v>
      </c>
      <c r="H183" s="222" t="s">
        <v>1405</v>
      </c>
    </row>
    <row r="184" spans="1:8" ht="18.75" x14ac:dyDescent="0.3">
      <c r="A184" s="179" t="s">
        <v>793</v>
      </c>
      <c r="B184" s="90" t="s">
        <v>812</v>
      </c>
      <c r="C184" s="221" t="s">
        <v>545</v>
      </c>
      <c r="D184" s="91">
        <v>9000</v>
      </c>
      <c r="E184" s="91">
        <f>749+749+749+749</f>
        <v>2996</v>
      </c>
      <c r="F184" s="91"/>
      <c r="G184" s="149">
        <f t="shared" si="2"/>
        <v>6004</v>
      </c>
      <c r="H184" s="222" t="s">
        <v>1404</v>
      </c>
    </row>
    <row r="185" spans="1:8" ht="18.75" x14ac:dyDescent="0.3">
      <c r="A185" s="179" t="s">
        <v>864</v>
      </c>
      <c r="B185" s="90" t="s">
        <v>884</v>
      </c>
      <c r="C185" s="221" t="s">
        <v>546</v>
      </c>
      <c r="D185" s="91">
        <v>9000</v>
      </c>
      <c r="E185" s="91">
        <f>749+749+749+749</f>
        <v>2996</v>
      </c>
      <c r="F185" s="91"/>
      <c r="G185" s="149">
        <f t="shared" si="2"/>
        <v>6004</v>
      </c>
      <c r="H185" s="222" t="s">
        <v>1136</v>
      </c>
    </row>
    <row r="186" spans="1:8" ht="18.75" x14ac:dyDescent="0.3">
      <c r="A186" s="179" t="s">
        <v>650</v>
      </c>
      <c r="B186" s="90" t="s">
        <v>798</v>
      </c>
      <c r="C186" s="221" t="s">
        <v>79</v>
      </c>
      <c r="D186" s="91">
        <v>12000</v>
      </c>
      <c r="E186" s="91">
        <f>1893.9+1893.9+1893.9+1893.9</f>
        <v>7575.6</v>
      </c>
      <c r="F186" s="91"/>
      <c r="G186" s="149">
        <f t="shared" si="2"/>
        <v>4424.3999999999996</v>
      </c>
      <c r="H186" s="222" t="s">
        <v>1404</v>
      </c>
    </row>
    <row r="187" spans="1:8" ht="18.75" x14ac:dyDescent="0.3">
      <c r="A187" s="179"/>
      <c r="B187" s="90">
        <v>168</v>
      </c>
      <c r="C187" s="389" t="s">
        <v>63</v>
      </c>
      <c r="D187" s="390">
        <v>9000</v>
      </c>
      <c r="E187" s="390"/>
      <c r="F187" s="390"/>
      <c r="G187" s="391">
        <f t="shared" si="2"/>
        <v>9000</v>
      </c>
      <c r="H187" s="392" t="s">
        <v>564</v>
      </c>
    </row>
    <row r="188" spans="1:8" x14ac:dyDescent="0.3">
      <c r="A188" s="179" t="s">
        <v>650</v>
      </c>
      <c r="B188" s="90" t="s">
        <v>796</v>
      </c>
      <c r="C188" s="225" t="s">
        <v>547</v>
      </c>
      <c r="D188" s="91">
        <v>30000</v>
      </c>
      <c r="E188" s="91">
        <f>4675.9+4675.9+4675.9+4675.9</f>
        <v>18703.599999999999</v>
      </c>
      <c r="F188" s="91"/>
      <c r="G188" s="149">
        <f t="shared" si="2"/>
        <v>11296.400000000001</v>
      </c>
      <c r="H188" s="222" t="s">
        <v>1259</v>
      </c>
    </row>
    <row r="189" spans="1:8" ht="18.75" x14ac:dyDescent="0.3">
      <c r="A189" s="179" t="s">
        <v>650</v>
      </c>
      <c r="B189" s="90" t="s">
        <v>796</v>
      </c>
      <c r="C189" s="221" t="s">
        <v>548</v>
      </c>
      <c r="D189" s="91">
        <v>9000</v>
      </c>
      <c r="E189" s="91">
        <f>1500+1500+1500+1500</f>
        <v>6000</v>
      </c>
      <c r="F189" s="91"/>
      <c r="G189" s="149">
        <f t="shared" si="2"/>
        <v>3000</v>
      </c>
      <c r="H189" s="222" t="s">
        <v>1259</v>
      </c>
    </row>
    <row r="190" spans="1:8" ht="18.75" x14ac:dyDescent="0.3">
      <c r="A190" s="179"/>
      <c r="B190" s="90">
        <v>171</v>
      </c>
      <c r="C190" s="389" t="s">
        <v>549</v>
      </c>
      <c r="D190" s="390">
        <v>9000</v>
      </c>
      <c r="E190" s="390"/>
      <c r="F190" s="390"/>
      <c r="G190" s="391">
        <f t="shared" si="2"/>
        <v>9000</v>
      </c>
      <c r="H190" s="392" t="s">
        <v>564</v>
      </c>
    </row>
    <row r="191" spans="1:8" ht="18.75" x14ac:dyDescent="0.3">
      <c r="A191" s="179" t="s">
        <v>650</v>
      </c>
      <c r="B191" s="90" t="s">
        <v>797</v>
      </c>
      <c r="C191" s="221" t="s">
        <v>62</v>
      </c>
      <c r="D191" s="91">
        <v>9000</v>
      </c>
      <c r="E191" s="91">
        <f>1498+1498+1498+1498</f>
        <v>5992</v>
      </c>
      <c r="F191" s="91"/>
      <c r="G191" s="149">
        <f t="shared" si="2"/>
        <v>3008</v>
      </c>
      <c r="H191" s="222" t="s">
        <v>1259</v>
      </c>
    </row>
    <row r="192" spans="1:8" ht="18.75" x14ac:dyDescent="0.3">
      <c r="A192" s="179" t="s">
        <v>793</v>
      </c>
      <c r="B192" s="90" t="s">
        <v>813</v>
      </c>
      <c r="C192" s="221" t="s">
        <v>76</v>
      </c>
      <c r="D192" s="91">
        <v>9000</v>
      </c>
      <c r="E192" s="91">
        <f>1476.6+1476.6+1476.6+1476.6</f>
        <v>5906.4</v>
      </c>
      <c r="F192" s="91"/>
      <c r="G192" s="149">
        <f t="shared" si="2"/>
        <v>3093.6000000000004</v>
      </c>
      <c r="H192" s="222" t="s">
        <v>1405</v>
      </c>
    </row>
    <row r="193" spans="1:8" ht="18.75" x14ac:dyDescent="0.3">
      <c r="A193" s="179" t="s">
        <v>650</v>
      </c>
      <c r="B193" s="90" t="s">
        <v>796</v>
      </c>
      <c r="C193" s="221" t="s">
        <v>550</v>
      </c>
      <c r="D193" s="91">
        <v>21000</v>
      </c>
      <c r="E193" s="91">
        <f>3317+3317+3317+3317</f>
        <v>13268</v>
      </c>
      <c r="F193" s="91"/>
      <c r="G193" s="149">
        <f t="shared" si="2"/>
        <v>7732</v>
      </c>
      <c r="H193" s="222" t="s">
        <v>1259</v>
      </c>
    </row>
    <row r="194" spans="1:8" ht="18.75" x14ac:dyDescent="0.3">
      <c r="A194" s="179"/>
      <c r="B194" s="90">
        <v>175</v>
      </c>
      <c r="C194" s="221" t="s">
        <v>551</v>
      </c>
      <c r="D194" s="91">
        <v>9000</v>
      </c>
      <c r="E194" s="91">
        <f>1476.6+1476.6+1476.6+1476.6</f>
        <v>5906.4</v>
      </c>
      <c r="F194" s="91"/>
      <c r="G194" s="149">
        <f t="shared" si="2"/>
        <v>3093.6000000000004</v>
      </c>
      <c r="H194" s="222" t="s">
        <v>1405</v>
      </c>
    </row>
    <row r="195" spans="1:8" ht="18.75" x14ac:dyDescent="0.3">
      <c r="A195" s="179" t="s">
        <v>793</v>
      </c>
      <c r="B195" s="90" t="s">
        <v>812</v>
      </c>
      <c r="C195" s="221" t="s">
        <v>552</v>
      </c>
      <c r="D195" s="91">
        <v>9000</v>
      </c>
      <c r="E195" s="91">
        <f>1498+1498+1498+1498</f>
        <v>5992</v>
      </c>
      <c r="F195" s="91"/>
      <c r="G195" s="149">
        <f t="shared" si="2"/>
        <v>3008</v>
      </c>
      <c r="H195" s="222" t="s">
        <v>1259</v>
      </c>
    </row>
    <row r="196" spans="1:8" ht="18.75" x14ac:dyDescent="0.3">
      <c r="A196" s="179" t="s">
        <v>650</v>
      </c>
      <c r="B196" s="90" t="s">
        <v>796</v>
      </c>
      <c r="C196" s="221" t="s">
        <v>553</v>
      </c>
      <c r="D196" s="91">
        <v>12000</v>
      </c>
      <c r="E196" s="91">
        <f>1808.3+1808.3+1808.3+1808.3</f>
        <v>7233.2</v>
      </c>
      <c r="F196" s="91"/>
      <c r="G196" s="149">
        <f t="shared" si="2"/>
        <v>4766.8</v>
      </c>
      <c r="H196" s="222" t="s">
        <v>1259</v>
      </c>
    </row>
    <row r="197" spans="1:8" ht="18.75" x14ac:dyDescent="0.3">
      <c r="A197" s="179" t="s">
        <v>1055</v>
      </c>
      <c r="B197" s="90" t="s">
        <v>1056</v>
      </c>
      <c r="C197" s="221" t="s">
        <v>31</v>
      </c>
      <c r="D197" s="91">
        <v>9000</v>
      </c>
      <c r="E197" s="91">
        <f>1476.6+1476.6+1476.6+1476.6</f>
        <v>5906.4</v>
      </c>
      <c r="F197" s="91"/>
      <c r="G197" s="149">
        <f t="shared" si="2"/>
        <v>3093.6000000000004</v>
      </c>
      <c r="H197" s="222" t="s">
        <v>1404</v>
      </c>
    </row>
    <row r="198" spans="1:8" ht="18.75" x14ac:dyDescent="0.3">
      <c r="A198" s="179"/>
      <c r="B198" s="90">
        <v>179</v>
      </c>
      <c r="C198" s="389" t="s">
        <v>554</v>
      </c>
      <c r="D198" s="390">
        <v>9000</v>
      </c>
      <c r="E198" s="390"/>
      <c r="F198" s="390"/>
      <c r="G198" s="391">
        <f t="shared" si="2"/>
        <v>9000</v>
      </c>
      <c r="H198" s="392" t="s">
        <v>564</v>
      </c>
    </row>
    <row r="199" spans="1:8" ht="18.75" x14ac:dyDescent="0.3">
      <c r="A199" s="179"/>
      <c r="B199" s="90">
        <v>180</v>
      </c>
      <c r="C199" s="221" t="s">
        <v>61</v>
      </c>
      <c r="D199" s="91">
        <v>9000</v>
      </c>
      <c r="E199" s="91">
        <f>1476.6+1476.6+1476.6+1476.6</f>
        <v>5906.4</v>
      </c>
      <c r="F199" s="91"/>
      <c r="G199" s="149">
        <f t="shared" si="2"/>
        <v>3093.6000000000004</v>
      </c>
      <c r="H199" s="222" t="s">
        <v>1404</v>
      </c>
    </row>
    <row r="200" spans="1:8" ht="18.75" x14ac:dyDescent="0.3">
      <c r="A200" s="179" t="s">
        <v>650</v>
      </c>
      <c r="B200" s="90" t="s">
        <v>797</v>
      </c>
      <c r="C200" s="221" t="s">
        <v>67</v>
      </c>
      <c r="D200" s="91">
        <v>30000</v>
      </c>
      <c r="E200" s="91">
        <f>4815+4815+4815+4815</f>
        <v>19260</v>
      </c>
      <c r="F200" s="91"/>
      <c r="G200" s="149">
        <f t="shared" si="2"/>
        <v>10740</v>
      </c>
      <c r="H200" s="222" t="s">
        <v>1136</v>
      </c>
    </row>
    <row r="201" spans="1:8" ht="18.75" x14ac:dyDescent="0.3">
      <c r="A201" s="179" t="s">
        <v>650</v>
      </c>
      <c r="B201" s="90" t="s">
        <v>796</v>
      </c>
      <c r="C201" s="221" t="s">
        <v>78</v>
      </c>
      <c r="D201" s="91">
        <v>12000</v>
      </c>
      <c r="E201" s="91">
        <f>1808.3+1808.3+1808.3+1808.3</f>
        <v>7233.2</v>
      </c>
      <c r="F201" s="91"/>
      <c r="G201" s="149">
        <f t="shared" si="2"/>
        <v>4766.8</v>
      </c>
      <c r="H201" s="222" t="s">
        <v>1259</v>
      </c>
    </row>
    <row r="202" spans="1:8" ht="18.75" x14ac:dyDescent="0.3">
      <c r="A202" s="179"/>
      <c r="B202" s="90">
        <v>183</v>
      </c>
      <c r="C202" s="389" t="s">
        <v>74</v>
      </c>
      <c r="D202" s="390">
        <v>12000</v>
      </c>
      <c r="E202" s="390"/>
      <c r="F202" s="390"/>
      <c r="G202" s="391">
        <f t="shared" si="2"/>
        <v>12000</v>
      </c>
      <c r="H202" s="392" t="s">
        <v>1154</v>
      </c>
    </row>
    <row r="203" spans="1:8" ht="18.75" x14ac:dyDescent="0.3">
      <c r="A203" s="179" t="s">
        <v>650</v>
      </c>
      <c r="B203" s="90" t="s">
        <v>798</v>
      </c>
      <c r="C203" s="221" t="s">
        <v>72</v>
      </c>
      <c r="D203" s="91">
        <v>12000</v>
      </c>
      <c r="E203" s="91">
        <f>1893.9+1893.9+1893.9+1893.9</f>
        <v>7575.6</v>
      </c>
      <c r="F203" s="91"/>
      <c r="G203" s="149">
        <f t="shared" si="2"/>
        <v>4424.3999999999996</v>
      </c>
      <c r="H203" s="222" t="s">
        <v>1406</v>
      </c>
    </row>
    <row r="204" spans="1:8" ht="18.75" x14ac:dyDescent="0.3">
      <c r="A204" s="179"/>
      <c r="B204" s="90">
        <v>185</v>
      </c>
      <c r="C204" s="389" t="s">
        <v>555</v>
      </c>
      <c r="D204" s="390">
        <v>9000</v>
      </c>
      <c r="E204" s="390"/>
      <c r="F204" s="390"/>
      <c r="G204" s="391">
        <f t="shared" si="2"/>
        <v>9000</v>
      </c>
      <c r="H204" s="392" t="s">
        <v>561</v>
      </c>
    </row>
    <row r="205" spans="1:8" ht="18.75" x14ac:dyDescent="0.3">
      <c r="A205" s="179" t="s">
        <v>650</v>
      </c>
      <c r="B205" s="90" t="s">
        <v>798</v>
      </c>
      <c r="C205" s="221" t="s">
        <v>556</v>
      </c>
      <c r="D205" s="91">
        <v>9000</v>
      </c>
      <c r="E205" s="91">
        <f>1476.6+1476.6+1476.6+1476.6</f>
        <v>5906.4</v>
      </c>
      <c r="F205" s="91"/>
      <c r="G205" s="149">
        <f t="shared" si="2"/>
        <v>3093.6000000000004</v>
      </c>
      <c r="H205" s="222" t="s">
        <v>1403</v>
      </c>
    </row>
    <row r="206" spans="1:8" ht="18.75" x14ac:dyDescent="0.3">
      <c r="A206" s="179" t="s">
        <v>650</v>
      </c>
      <c r="B206" s="90" t="s">
        <v>798</v>
      </c>
      <c r="C206" s="221" t="s">
        <v>73</v>
      </c>
      <c r="D206" s="91">
        <v>12000</v>
      </c>
      <c r="E206" s="91">
        <f>1059.3+1059.3+1059.3+1059.3</f>
        <v>4237.2</v>
      </c>
      <c r="F206" s="91"/>
      <c r="G206" s="149">
        <f t="shared" si="2"/>
        <v>7762.8</v>
      </c>
      <c r="H206" s="222" t="s">
        <v>1403</v>
      </c>
    </row>
    <row r="207" spans="1:8" ht="18.75" x14ac:dyDescent="0.3">
      <c r="A207" s="179" t="s">
        <v>793</v>
      </c>
      <c r="B207" s="90" t="s">
        <v>812</v>
      </c>
      <c r="C207" s="221" t="s">
        <v>557</v>
      </c>
      <c r="D207" s="91">
        <v>9000</v>
      </c>
      <c r="E207" s="91">
        <f>749+749+749+749</f>
        <v>2996</v>
      </c>
      <c r="F207" s="91"/>
      <c r="G207" s="149">
        <f t="shared" si="2"/>
        <v>6004</v>
      </c>
      <c r="H207" s="222" t="s">
        <v>1259</v>
      </c>
    </row>
    <row r="208" spans="1:8" ht="18.75" x14ac:dyDescent="0.3">
      <c r="A208" s="179" t="s">
        <v>650</v>
      </c>
      <c r="B208" s="90" t="s">
        <v>797</v>
      </c>
      <c r="C208" s="221" t="s">
        <v>558</v>
      </c>
      <c r="D208" s="91">
        <v>9000</v>
      </c>
      <c r="E208" s="91">
        <f>1498+1498+1498+1498</f>
        <v>5992</v>
      </c>
      <c r="F208" s="91"/>
      <c r="G208" s="149">
        <f t="shared" si="2"/>
        <v>3008</v>
      </c>
      <c r="H208" s="222" t="s">
        <v>1259</v>
      </c>
    </row>
    <row r="209" spans="1:8" ht="18.75" x14ac:dyDescent="0.3">
      <c r="A209" s="179" t="s">
        <v>650</v>
      </c>
      <c r="B209" s="90" t="s">
        <v>798</v>
      </c>
      <c r="C209" s="221" t="s">
        <v>75</v>
      </c>
      <c r="D209" s="91">
        <v>9000</v>
      </c>
      <c r="E209" s="91">
        <f>1476.6+1476.6+1476.6+1476.6</f>
        <v>5906.4</v>
      </c>
      <c r="F209" s="91"/>
      <c r="G209" s="149">
        <f t="shared" si="2"/>
        <v>3093.6000000000004</v>
      </c>
      <c r="H209" s="222" t="s">
        <v>1403</v>
      </c>
    </row>
    <row r="210" spans="1:8" ht="18.75" x14ac:dyDescent="0.3">
      <c r="A210" s="179" t="s">
        <v>650</v>
      </c>
      <c r="B210" s="90" t="s">
        <v>798</v>
      </c>
      <c r="C210" s="221" t="s">
        <v>101</v>
      </c>
      <c r="D210" s="91">
        <v>12000</v>
      </c>
      <c r="E210" s="91">
        <f>1166.3+1166.3+1166.3+1166.3</f>
        <v>4665.2</v>
      </c>
      <c r="F210" s="91"/>
      <c r="G210" s="149">
        <f t="shared" si="2"/>
        <v>7334.8</v>
      </c>
      <c r="H210" s="222" t="s">
        <v>1405</v>
      </c>
    </row>
    <row r="211" spans="1:8" ht="18.75" x14ac:dyDescent="0.3">
      <c r="A211" s="179" t="s">
        <v>1257</v>
      </c>
      <c r="B211" s="90" t="s">
        <v>1258</v>
      </c>
      <c r="C211" s="221" t="s">
        <v>559</v>
      </c>
      <c r="D211" s="91">
        <v>12000</v>
      </c>
      <c r="E211" s="91">
        <f>4263.08+1915.3</f>
        <v>6178.38</v>
      </c>
      <c r="F211" s="91"/>
      <c r="G211" s="149">
        <f t="shared" si="2"/>
        <v>5821.62</v>
      </c>
      <c r="H211" s="222" t="s">
        <v>1442</v>
      </c>
    </row>
    <row r="212" spans="1:8" ht="18.75" x14ac:dyDescent="0.3">
      <c r="A212" s="179" t="s">
        <v>650</v>
      </c>
      <c r="B212" s="90" t="s">
        <v>797</v>
      </c>
      <c r="C212" s="221" t="s">
        <v>560</v>
      </c>
      <c r="D212" s="91">
        <v>12000</v>
      </c>
      <c r="E212" s="91">
        <f>1926+1926+1926+1926</f>
        <v>7704</v>
      </c>
      <c r="F212" s="91"/>
      <c r="G212" s="149">
        <f t="shared" si="2"/>
        <v>4296</v>
      </c>
      <c r="H212" s="222" t="s">
        <v>1136</v>
      </c>
    </row>
    <row r="213" spans="1:8" ht="18.75" x14ac:dyDescent="0.3">
      <c r="A213" s="179"/>
      <c r="B213" s="90"/>
      <c r="C213" s="253"/>
      <c r="D213" s="91"/>
      <c r="E213" s="91"/>
      <c r="F213" s="91"/>
      <c r="G213" s="149"/>
      <c r="H213" s="222"/>
    </row>
    <row r="214" spans="1:8" ht="18.75" x14ac:dyDescent="0.3">
      <c r="A214" s="179" t="s">
        <v>2732</v>
      </c>
      <c r="B214" s="90" t="s">
        <v>2735</v>
      </c>
      <c r="C214" s="253" t="s">
        <v>2776</v>
      </c>
      <c r="D214" s="91"/>
      <c r="E214" s="91">
        <v>426199.16</v>
      </c>
      <c r="F214" s="91"/>
      <c r="G214" s="149"/>
      <c r="H214" s="222"/>
    </row>
    <row r="215" spans="1:8" ht="18.75" x14ac:dyDescent="0.3">
      <c r="A215" s="179" t="s">
        <v>2741</v>
      </c>
      <c r="B215" s="97" t="s">
        <v>2774</v>
      </c>
      <c r="C215" s="253" t="s">
        <v>2775</v>
      </c>
      <c r="D215" s="91"/>
      <c r="E215" s="91">
        <v>12168.46</v>
      </c>
      <c r="F215" s="91"/>
      <c r="G215" s="149"/>
      <c r="H215" s="430"/>
    </row>
    <row r="216" spans="1:8" x14ac:dyDescent="0.3">
      <c r="A216" s="179"/>
      <c r="B216" s="97"/>
      <c r="C216" s="187"/>
      <c r="D216" s="134"/>
      <c r="E216" s="91"/>
      <c r="F216" s="91"/>
      <c r="G216" s="149"/>
      <c r="H216" s="150"/>
    </row>
    <row r="217" spans="1:8" ht="18" thickBot="1" x14ac:dyDescent="0.35">
      <c r="A217" s="108"/>
      <c r="B217" s="143"/>
      <c r="C217" s="131" t="s">
        <v>107</v>
      </c>
      <c r="D217" s="170">
        <f>SUM(D8:D216)</f>
        <v>2226000</v>
      </c>
      <c r="E217" s="258">
        <f>SUM(E8:E216)</f>
        <v>1567281.6499999992</v>
      </c>
      <c r="F217" s="170">
        <f>SUM(F6:F216)</f>
        <v>0</v>
      </c>
      <c r="G217" s="244">
        <f>D217-E217-F217</f>
        <v>658718.35000000079</v>
      </c>
      <c r="H217" s="94"/>
    </row>
    <row r="218" spans="1:8" ht="18" thickTop="1" x14ac:dyDescent="0.3">
      <c r="D218" s="137"/>
      <c r="F218" s="176"/>
      <c r="G218" s="241"/>
    </row>
    <row r="219" spans="1:8" x14ac:dyDescent="0.3">
      <c r="D219" s="137">
        <v>2226000</v>
      </c>
      <c r="E219" s="132">
        <f>D217-D219</f>
        <v>0</v>
      </c>
      <c r="F219" s="164"/>
    </row>
    <row r="220" spans="1:8" x14ac:dyDescent="0.3">
      <c r="D220" s="137"/>
      <c r="E220" s="132"/>
      <c r="H220" s="132"/>
    </row>
    <row r="221" spans="1:8" x14ac:dyDescent="0.3">
      <c r="B221" s="138"/>
      <c r="C221" s="138"/>
      <c r="D221" s="140"/>
      <c r="E221" s="139"/>
    </row>
    <row r="222" spans="1:8" x14ac:dyDescent="0.3">
      <c r="B222" s="138"/>
      <c r="C222" s="138"/>
      <c r="D222" s="174"/>
      <c r="E222" s="146"/>
    </row>
    <row r="223" spans="1:8" x14ac:dyDescent="0.3">
      <c r="B223" s="138"/>
      <c r="C223" s="138"/>
      <c r="D223" s="138"/>
      <c r="E223" s="139"/>
    </row>
    <row r="224" spans="1:8" x14ac:dyDescent="0.3">
      <c r="B224" s="138"/>
      <c r="C224" s="138"/>
      <c r="D224" s="138"/>
      <c r="E224" s="146"/>
    </row>
  </sheetData>
  <mergeCells count="2">
    <mergeCell ref="A1:H1"/>
    <mergeCell ref="A2:H2"/>
  </mergeCells>
  <pageMargins left="0.28000000000000003" right="0.15" top="0.15748031496062992" bottom="0.15748031496062992" header="0.15748031496062992" footer="0.15748031496062992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>
      <selection activeCell="E6" sqref="E6"/>
    </sheetView>
  </sheetViews>
  <sheetFormatPr defaultRowHeight="18.75" x14ac:dyDescent="0.3"/>
  <cols>
    <col min="1" max="1" width="8.140625" style="23" customWidth="1"/>
    <col min="2" max="2" width="7.85546875" style="78" bestFit="1" customWidth="1"/>
    <col min="3" max="3" width="31.28515625" style="1" customWidth="1"/>
    <col min="4" max="4" width="10.7109375" style="78" customWidth="1"/>
    <col min="5" max="5" width="11.140625" style="78" customWidth="1"/>
    <col min="6" max="6" width="9.7109375" style="78" customWidth="1"/>
    <col min="7" max="7" width="11.85546875" style="1" customWidth="1"/>
    <col min="8" max="8" width="9.7109375" style="78" customWidth="1"/>
    <col min="9" max="16384" width="9.140625" style="78"/>
  </cols>
  <sheetData>
    <row r="1" spans="1:8" ht="17.25" x14ac:dyDescent="0.3">
      <c r="A1" s="453" t="s">
        <v>209</v>
      </c>
      <c r="B1" s="453"/>
      <c r="C1" s="453"/>
      <c r="D1" s="453"/>
      <c r="E1" s="453"/>
      <c r="F1" s="453"/>
      <c r="G1" s="453"/>
      <c r="H1" s="453"/>
    </row>
    <row r="2" spans="1:8" ht="17.25" x14ac:dyDescent="0.3">
      <c r="A2" s="453" t="s">
        <v>2389</v>
      </c>
      <c r="B2" s="453"/>
      <c r="C2" s="453"/>
      <c r="D2" s="453"/>
      <c r="E2" s="453"/>
      <c r="F2" s="453"/>
      <c r="G2" s="453"/>
      <c r="H2" s="453"/>
    </row>
    <row r="3" spans="1:8" x14ac:dyDescent="0.3">
      <c r="A3" s="101" t="s">
        <v>127</v>
      </c>
      <c r="B3" s="77"/>
      <c r="C3" s="63"/>
      <c r="D3" s="77"/>
      <c r="E3" s="152"/>
      <c r="F3" s="77"/>
      <c r="G3" s="226" t="s">
        <v>5</v>
      </c>
      <c r="H3" s="169" t="s">
        <v>218</v>
      </c>
    </row>
    <row r="4" spans="1:8" x14ac:dyDescent="0.3">
      <c r="A4" s="178" t="s">
        <v>16</v>
      </c>
      <c r="B4" s="156" t="s">
        <v>12</v>
      </c>
      <c r="C4" s="65" t="s">
        <v>4</v>
      </c>
      <c r="D4" s="82" t="s">
        <v>15</v>
      </c>
      <c r="E4" s="82" t="s">
        <v>1</v>
      </c>
      <c r="F4" s="82" t="s">
        <v>34</v>
      </c>
      <c r="G4" s="260" t="s">
        <v>2</v>
      </c>
      <c r="H4" s="81" t="s">
        <v>3</v>
      </c>
    </row>
    <row r="5" spans="1:8" x14ac:dyDescent="0.3">
      <c r="A5" s="105"/>
      <c r="B5" s="84"/>
      <c r="C5" s="68"/>
      <c r="D5" s="86" t="s">
        <v>0</v>
      </c>
      <c r="E5" s="86"/>
      <c r="F5" s="86" t="s">
        <v>35</v>
      </c>
      <c r="G5" s="261"/>
      <c r="H5" s="158"/>
    </row>
    <row r="6" spans="1:8" x14ac:dyDescent="0.3">
      <c r="A6" s="179" t="s">
        <v>376</v>
      </c>
      <c r="B6" s="90" t="s">
        <v>395</v>
      </c>
      <c r="C6" s="218" t="s">
        <v>396</v>
      </c>
      <c r="D6" s="93">
        <v>1717000</v>
      </c>
      <c r="E6" s="93"/>
      <c r="F6" s="93"/>
      <c r="G6" s="42"/>
      <c r="H6" s="75"/>
    </row>
    <row r="7" spans="1:8" x14ac:dyDescent="0.3">
      <c r="A7" s="179"/>
      <c r="B7" s="90"/>
      <c r="C7" s="218"/>
      <c r="D7" s="93"/>
      <c r="E7" s="93"/>
      <c r="F7" s="93"/>
      <c r="G7" s="256"/>
      <c r="H7" s="94"/>
    </row>
    <row r="8" spans="1:8" x14ac:dyDescent="0.3">
      <c r="A8" s="179" t="s">
        <v>790</v>
      </c>
      <c r="B8" s="90" t="s">
        <v>804</v>
      </c>
      <c r="C8" s="218" t="s">
        <v>397</v>
      </c>
      <c r="D8" s="93">
        <v>37500</v>
      </c>
      <c r="E8" s="93">
        <f>15000+22500</f>
        <v>37500</v>
      </c>
      <c r="F8" s="93"/>
      <c r="G8" s="410">
        <f>D8-E8</f>
        <v>0</v>
      </c>
      <c r="H8" s="94" t="s">
        <v>1219</v>
      </c>
    </row>
    <row r="9" spans="1:8" x14ac:dyDescent="0.3">
      <c r="A9" s="179" t="s">
        <v>742</v>
      </c>
      <c r="B9" s="90" t="s">
        <v>759</v>
      </c>
      <c r="C9" s="218" t="s">
        <v>398</v>
      </c>
      <c r="D9" s="93">
        <v>3000</v>
      </c>
      <c r="E9" s="93">
        <f>1200+1800</f>
        <v>3000</v>
      </c>
      <c r="F9" s="93"/>
      <c r="G9" s="410">
        <f t="shared" ref="G9:G43" si="0">D9-E9</f>
        <v>0</v>
      </c>
      <c r="H9" s="75"/>
    </row>
    <row r="10" spans="1:8" x14ac:dyDescent="0.3">
      <c r="A10" s="179" t="s">
        <v>969</v>
      </c>
      <c r="B10" s="90" t="s">
        <v>978</v>
      </c>
      <c r="C10" s="218" t="s">
        <v>399</v>
      </c>
      <c r="D10" s="93">
        <v>5000</v>
      </c>
      <c r="E10" s="93">
        <f>1600+2400</f>
        <v>4000</v>
      </c>
      <c r="F10" s="134"/>
      <c r="G10" s="410">
        <f t="shared" si="0"/>
        <v>1000</v>
      </c>
      <c r="H10" s="189" t="s">
        <v>1255</v>
      </c>
    </row>
    <row r="11" spans="1:8" x14ac:dyDescent="0.3">
      <c r="A11" s="179" t="s">
        <v>658</v>
      </c>
      <c r="B11" s="97" t="s">
        <v>692</v>
      </c>
      <c r="C11" s="218" t="s">
        <v>400</v>
      </c>
      <c r="D11" s="93">
        <v>60000</v>
      </c>
      <c r="E11" s="93">
        <f>23355+33630</f>
        <v>56985</v>
      </c>
      <c r="F11" s="134"/>
      <c r="G11" s="410">
        <f t="shared" si="0"/>
        <v>3015</v>
      </c>
      <c r="H11" s="189" t="s">
        <v>1238</v>
      </c>
    </row>
    <row r="12" spans="1:8" x14ac:dyDescent="0.3">
      <c r="A12" s="179" t="s">
        <v>1558</v>
      </c>
      <c r="B12" s="90" t="s">
        <v>1571</v>
      </c>
      <c r="C12" s="218" t="s">
        <v>401</v>
      </c>
      <c r="D12" s="93">
        <v>7500</v>
      </c>
      <c r="E12" s="93">
        <v>7500</v>
      </c>
      <c r="F12" s="134"/>
      <c r="G12" s="410">
        <f t="shared" si="0"/>
        <v>0</v>
      </c>
      <c r="H12" s="189"/>
    </row>
    <row r="13" spans="1:8" x14ac:dyDescent="0.3">
      <c r="A13" s="179" t="s">
        <v>832</v>
      </c>
      <c r="B13" s="97" t="s">
        <v>839</v>
      </c>
      <c r="C13" s="218" t="s">
        <v>1075</v>
      </c>
      <c r="D13" s="93">
        <v>84000</v>
      </c>
      <c r="E13" s="93">
        <f>17760+17640+14715+15960+16800</f>
        <v>82875</v>
      </c>
      <c r="F13" s="134"/>
      <c r="G13" s="410">
        <f t="shared" si="0"/>
        <v>1125</v>
      </c>
      <c r="H13" s="189" t="s">
        <v>1076</v>
      </c>
    </row>
    <row r="14" spans="1:8" x14ac:dyDescent="0.3">
      <c r="A14" s="179" t="s">
        <v>658</v>
      </c>
      <c r="B14" s="97" t="s">
        <v>693</v>
      </c>
      <c r="C14" s="218" t="s">
        <v>402</v>
      </c>
      <c r="D14" s="93">
        <v>82500</v>
      </c>
      <c r="E14" s="93">
        <f>33000+49500</f>
        <v>82500</v>
      </c>
      <c r="F14" s="134"/>
      <c r="G14" s="410">
        <f t="shared" si="0"/>
        <v>0</v>
      </c>
      <c r="H14" s="189" t="s">
        <v>1376</v>
      </c>
    </row>
    <row r="15" spans="1:8" x14ac:dyDescent="0.3">
      <c r="A15" s="179" t="s">
        <v>988</v>
      </c>
      <c r="B15" s="97" t="s">
        <v>994</v>
      </c>
      <c r="C15" s="219" t="s">
        <v>403</v>
      </c>
      <c r="D15" s="93">
        <v>113500</v>
      </c>
      <c r="E15" s="93">
        <f>45400+68100</f>
        <v>113500</v>
      </c>
      <c r="F15" s="134"/>
      <c r="G15" s="410">
        <f t="shared" si="0"/>
        <v>0</v>
      </c>
      <c r="H15" s="189" t="s">
        <v>1254</v>
      </c>
    </row>
    <row r="16" spans="1:8" x14ac:dyDescent="0.3">
      <c r="A16" s="179" t="s">
        <v>790</v>
      </c>
      <c r="B16" s="90" t="s">
        <v>806</v>
      </c>
      <c r="C16" s="219" t="s">
        <v>178</v>
      </c>
      <c r="D16" s="93">
        <v>42000</v>
      </c>
      <c r="E16" s="93">
        <f>16800+25200</f>
        <v>42000</v>
      </c>
      <c r="F16" s="134"/>
      <c r="G16" s="410">
        <f t="shared" si="0"/>
        <v>0</v>
      </c>
      <c r="H16" s="189" t="s">
        <v>1496</v>
      </c>
    </row>
    <row r="17" spans="1:8" x14ac:dyDescent="0.3">
      <c r="A17" s="179" t="s">
        <v>1030</v>
      </c>
      <c r="B17" s="97" t="s">
        <v>1036</v>
      </c>
      <c r="C17" s="219" t="s">
        <v>404</v>
      </c>
      <c r="D17" s="93">
        <v>46500</v>
      </c>
      <c r="E17" s="93">
        <f>18600+27900</f>
        <v>46500</v>
      </c>
      <c r="F17" s="134"/>
      <c r="G17" s="410">
        <f t="shared" si="0"/>
        <v>0</v>
      </c>
      <c r="H17" s="189" t="s">
        <v>2715</v>
      </c>
    </row>
    <row r="18" spans="1:8" x14ac:dyDescent="0.3">
      <c r="A18" s="179" t="s">
        <v>956</v>
      </c>
      <c r="B18" s="97" t="s">
        <v>957</v>
      </c>
      <c r="C18" s="219" t="s">
        <v>105</v>
      </c>
      <c r="D18" s="93">
        <v>28500</v>
      </c>
      <c r="E18" s="93">
        <f>11400+17100</f>
        <v>28500</v>
      </c>
      <c r="F18" s="134"/>
      <c r="G18" s="410">
        <f t="shared" si="0"/>
        <v>0</v>
      </c>
      <c r="H18" s="189" t="s">
        <v>1223</v>
      </c>
    </row>
    <row r="19" spans="1:8" x14ac:dyDescent="0.3">
      <c r="A19" s="179" t="s">
        <v>664</v>
      </c>
      <c r="B19" s="97" t="s">
        <v>666</v>
      </c>
      <c r="C19" s="219" t="s">
        <v>405</v>
      </c>
      <c r="D19" s="93">
        <v>22500</v>
      </c>
      <c r="E19" s="93">
        <f>9000+13500</f>
        <v>22500</v>
      </c>
      <c r="F19" s="134"/>
      <c r="G19" s="410">
        <f t="shared" si="0"/>
        <v>0</v>
      </c>
      <c r="H19" s="189" t="s">
        <v>1225</v>
      </c>
    </row>
    <row r="20" spans="1:8" x14ac:dyDescent="0.3">
      <c r="A20" s="179" t="s">
        <v>658</v>
      </c>
      <c r="B20" s="97" t="s">
        <v>689</v>
      </c>
      <c r="C20" s="219" t="s">
        <v>406</v>
      </c>
      <c r="D20" s="93">
        <v>7000</v>
      </c>
      <c r="E20" s="93">
        <f>3200+3800</f>
        <v>7000</v>
      </c>
      <c r="F20" s="134"/>
      <c r="G20" s="410">
        <f t="shared" si="0"/>
        <v>0</v>
      </c>
      <c r="H20" s="189" t="s">
        <v>1462</v>
      </c>
    </row>
    <row r="21" spans="1:8" x14ac:dyDescent="0.3">
      <c r="A21" s="179" t="s">
        <v>816</v>
      </c>
      <c r="B21" s="97" t="s">
        <v>827</v>
      </c>
      <c r="C21" s="219" t="s">
        <v>407</v>
      </c>
      <c r="D21" s="93">
        <v>45000</v>
      </c>
      <c r="E21" s="93">
        <f>18000+27000</f>
        <v>45000</v>
      </c>
      <c r="F21" s="134"/>
      <c r="G21" s="410">
        <f t="shared" si="0"/>
        <v>0</v>
      </c>
      <c r="H21" s="189" t="s">
        <v>2200</v>
      </c>
    </row>
    <row r="22" spans="1:8" x14ac:dyDescent="0.3">
      <c r="A22" s="179" t="s">
        <v>654</v>
      </c>
      <c r="B22" s="97" t="s">
        <v>683</v>
      </c>
      <c r="C22" s="219" t="s">
        <v>408</v>
      </c>
      <c r="D22" s="93">
        <v>48000</v>
      </c>
      <c r="E22" s="93">
        <f>18960+28620</f>
        <v>47580</v>
      </c>
      <c r="F22" s="134"/>
      <c r="G22" s="410">
        <f t="shared" si="0"/>
        <v>420</v>
      </c>
      <c r="H22" s="189" t="s">
        <v>1217</v>
      </c>
    </row>
    <row r="23" spans="1:8" x14ac:dyDescent="0.3">
      <c r="A23" s="179" t="s">
        <v>654</v>
      </c>
      <c r="B23" s="97" t="s">
        <v>681</v>
      </c>
      <c r="C23" s="219" t="s">
        <v>124</v>
      </c>
      <c r="D23" s="93">
        <v>37500</v>
      </c>
      <c r="E23" s="93">
        <f>15000+22500</f>
        <v>37500</v>
      </c>
      <c r="F23" s="134"/>
      <c r="G23" s="410">
        <f t="shared" si="0"/>
        <v>0</v>
      </c>
      <c r="H23" s="189" t="s">
        <v>1215</v>
      </c>
    </row>
    <row r="24" spans="1:8" x14ac:dyDescent="0.3">
      <c r="A24" s="179" t="s">
        <v>988</v>
      </c>
      <c r="B24" s="97" t="s">
        <v>999</v>
      </c>
      <c r="C24" s="219" t="s">
        <v>177</v>
      </c>
      <c r="D24" s="93">
        <v>15000</v>
      </c>
      <c r="E24" s="93">
        <f>6000+9000</f>
        <v>15000</v>
      </c>
      <c r="F24" s="134"/>
      <c r="G24" s="410">
        <f t="shared" si="0"/>
        <v>0</v>
      </c>
      <c r="H24" s="189" t="s">
        <v>1237</v>
      </c>
    </row>
    <row r="25" spans="1:8" x14ac:dyDescent="0.3">
      <c r="A25" s="179" t="s">
        <v>742</v>
      </c>
      <c r="B25" s="97" t="s">
        <v>750</v>
      </c>
      <c r="C25" s="219" t="s">
        <v>409</v>
      </c>
      <c r="D25" s="93">
        <v>18000</v>
      </c>
      <c r="E25" s="93">
        <f>7200+10800</f>
        <v>18000</v>
      </c>
      <c r="F25" s="134"/>
      <c r="G25" s="410">
        <f t="shared" si="0"/>
        <v>0</v>
      </c>
      <c r="H25" s="189" t="s">
        <v>1224</v>
      </c>
    </row>
    <row r="26" spans="1:8" x14ac:dyDescent="0.3">
      <c r="A26" s="179" t="s">
        <v>1167</v>
      </c>
      <c r="B26" s="97" t="s">
        <v>1226</v>
      </c>
      <c r="C26" s="219" t="s">
        <v>410</v>
      </c>
      <c r="D26" s="93">
        <v>42000</v>
      </c>
      <c r="E26" s="93">
        <v>42000</v>
      </c>
      <c r="F26" s="134"/>
      <c r="G26" s="410">
        <f t="shared" si="0"/>
        <v>0</v>
      </c>
      <c r="H26" s="189"/>
    </row>
    <row r="27" spans="1:8" x14ac:dyDescent="0.3">
      <c r="A27" s="179" t="s">
        <v>790</v>
      </c>
      <c r="B27" s="90" t="s">
        <v>805</v>
      </c>
      <c r="C27" s="219" t="s">
        <v>411</v>
      </c>
      <c r="D27" s="93">
        <v>66000</v>
      </c>
      <c r="E27" s="93">
        <f>27060+37170</f>
        <v>64230</v>
      </c>
      <c r="F27" s="134"/>
      <c r="G27" s="410">
        <f t="shared" si="0"/>
        <v>1770</v>
      </c>
      <c r="H27" s="189" t="s">
        <v>1227</v>
      </c>
    </row>
    <row r="28" spans="1:8" x14ac:dyDescent="0.3">
      <c r="A28" s="179" t="s">
        <v>712</v>
      </c>
      <c r="B28" s="97" t="s">
        <v>713</v>
      </c>
      <c r="C28" s="219" t="s">
        <v>412</v>
      </c>
      <c r="D28" s="93">
        <v>48000</v>
      </c>
      <c r="E28" s="93">
        <f>19125+28770</f>
        <v>47895</v>
      </c>
      <c r="F28" s="134"/>
      <c r="G28" s="410">
        <f t="shared" si="0"/>
        <v>105</v>
      </c>
      <c r="H28" s="189" t="s">
        <v>1218</v>
      </c>
    </row>
    <row r="29" spans="1:8" x14ac:dyDescent="0.3">
      <c r="A29" s="179" t="s">
        <v>658</v>
      </c>
      <c r="B29" s="97" t="s">
        <v>690</v>
      </c>
      <c r="C29" s="219" t="s">
        <v>179</v>
      </c>
      <c r="D29" s="93">
        <v>15000</v>
      </c>
      <c r="E29" s="93">
        <f>6450+8550</f>
        <v>15000</v>
      </c>
      <c r="F29" s="134"/>
      <c r="G29" s="410">
        <f t="shared" si="0"/>
        <v>0</v>
      </c>
      <c r="H29" s="189" t="s">
        <v>1220</v>
      </c>
    </row>
    <row r="30" spans="1:8" x14ac:dyDescent="0.3">
      <c r="A30" s="179" t="s">
        <v>658</v>
      </c>
      <c r="B30" s="97" t="s">
        <v>691</v>
      </c>
      <c r="C30" s="219" t="s">
        <v>413</v>
      </c>
      <c r="D30" s="93">
        <v>15000</v>
      </c>
      <c r="E30" s="93">
        <f>6000+9000</f>
        <v>15000</v>
      </c>
      <c r="F30" s="134"/>
      <c r="G30" s="410">
        <f t="shared" si="0"/>
        <v>0</v>
      </c>
      <c r="H30" s="189" t="s">
        <v>1216</v>
      </c>
    </row>
    <row r="31" spans="1:8" x14ac:dyDescent="0.3">
      <c r="A31" s="179" t="s">
        <v>832</v>
      </c>
      <c r="B31" s="97" t="s">
        <v>844</v>
      </c>
      <c r="C31" s="219" t="s">
        <v>44</v>
      </c>
      <c r="D31" s="98">
        <v>18000</v>
      </c>
      <c r="E31" s="98">
        <f>8460+9540</f>
        <v>18000</v>
      </c>
      <c r="F31" s="134"/>
      <c r="G31" s="410">
        <f t="shared" si="0"/>
        <v>0</v>
      </c>
      <c r="H31" s="189" t="s">
        <v>1461</v>
      </c>
    </row>
    <row r="32" spans="1:8" x14ac:dyDescent="0.3">
      <c r="A32" s="179" t="s">
        <v>742</v>
      </c>
      <c r="B32" s="97" t="s">
        <v>751</v>
      </c>
      <c r="C32" s="219" t="s">
        <v>120</v>
      </c>
      <c r="D32" s="98">
        <v>49500</v>
      </c>
      <c r="E32" s="98">
        <f>19800+29700</f>
        <v>49500</v>
      </c>
      <c r="F32" s="134"/>
      <c r="G32" s="410">
        <f t="shared" si="0"/>
        <v>0</v>
      </c>
      <c r="H32" s="189" t="s">
        <v>1228</v>
      </c>
    </row>
    <row r="33" spans="1:8" x14ac:dyDescent="0.3">
      <c r="A33" s="179" t="s">
        <v>988</v>
      </c>
      <c r="B33" s="97" t="s">
        <v>998</v>
      </c>
      <c r="C33" s="219" t="s">
        <v>414</v>
      </c>
      <c r="D33" s="98">
        <v>83000</v>
      </c>
      <c r="E33" s="98">
        <f>28315+39100</f>
        <v>67415</v>
      </c>
      <c r="F33" s="134"/>
      <c r="G33" s="410">
        <f t="shared" si="0"/>
        <v>15585</v>
      </c>
      <c r="H33" s="189" t="s">
        <v>1841</v>
      </c>
    </row>
    <row r="34" spans="1:8" x14ac:dyDescent="0.3">
      <c r="A34" s="179" t="s">
        <v>816</v>
      </c>
      <c r="B34" s="97" t="s">
        <v>825</v>
      </c>
      <c r="C34" s="219" t="s">
        <v>415</v>
      </c>
      <c r="D34" s="98">
        <v>170000</v>
      </c>
      <c r="E34" s="98">
        <f>66800+33100+66515</f>
        <v>166415</v>
      </c>
      <c r="F34" s="134"/>
      <c r="G34" s="256">
        <f t="shared" si="0"/>
        <v>3585</v>
      </c>
      <c r="H34" s="189" t="s">
        <v>1232</v>
      </c>
    </row>
    <row r="35" spans="1:8" x14ac:dyDescent="0.3">
      <c r="A35" s="179" t="s">
        <v>664</v>
      </c>
      <c r="B35" s="97" t="s">
        <v>665</v>
      </c>
      <c r="C35" s="219" t="s">
        <v>416</v>
      </c>
      <c r="D35" s="98">
        <v>25500</v>
      </c>
      <c r="E35" s="98">
        <f>10200+15300</f>
        <v>25500</v>
      </c>
      <c r="F35" s="134"/>
      <c r="G35" s="410">
        <f t="shared" si="0"/>
        <v>0</v>
      </c>
      <c r="H35" s="189" t="s">
        <v>1221</v>
      </c>
    </row>
    <row r="36" spans="1:8" x14ac:dyDescent="0.3">
      <c r="A36" s="179" t="s">
        <v>658</v>
      </c>
      <c r="B36" s="97" t="s">
        <v>710</v>
      </c>
      <c r="C36" s="219" t="s">
        <v>417</v>
      </c>
      <c r="D36" s="98">
        <v>12000</v>
      </c>
      <c r="E36" s="98">
        <f>7320+4680</f>
        <v>12000</v>
      </c>
      <c r="F36" s="134"/>
      <c r="G36" s="410">
        <f t="shared" si="0"/>
        <v>0</v>
      </c>
      <c r="H36" s="189" t="s">
        <v>1228</v>
      </c>
    </row>
    <row r="37" spans="1:8" x14ac:dyDescent="0.3">
      <c r="A37" s="179" t="s">
        <v>954</v>
      </c>
      <c r="B37" s="97" t="s">
        <v>955</v>
      </c>
      <c r="C37" s="219" t="s">
        <v>418</v>
      </c>
      <c r="D37" s="98">
        <v>75000</v>
      </c>
      <c r="E37" s="98">
        <f>30000+45000</f>
        <v>75000</v>
      </c>
      <c r="F37" s="134"/>
      <c r="G37" s="410">
        <f t="shared" si="0"/>
        <v>0</v>
      </c>
      <c r="H37" s="189" t="s">
        <v>1221</v>
      </c>
    </row>
    <row r="38" spans="1:8" x14ac:dyDescent="0.3">
      <c r="A38" s="179" t="s">
        <v>1233</v>
      </c>
      <c r="B38" s="97" t="s">
        <v>1239</v>
      </c>
      <c r="C38" s="219" t="s">
        <v>419</v>
      </c>
      <c r="D38" s="98">
        <v>93000</v>
      </c>
      <c r="E38" s="98">
        <f>55800+37200</f>
        <v>93000</v>
      </c>
      <c r="F38" s="134"/>
      <c r="G38" s="256">
        <f t="shared" si="0"/>
        <v>0</v>
      </c>
      <c r="H38" s="189" t="s">
        <v>1484</v>
      </c>
    </row>
    <row r="39" spans="1:8" x14ac:dyDescent="0.3">
      <c r="A39" s="179" t="s">
        <v>1016</v>
      </c>
      <c r="B39" s="97" t="s">
        <v>1037</v>
      </c>
      <c r="C39" s="219" t="s">
        <v>43</v>
      </c>
      <c r="D39" s="98">
        <v>203000</v>
      </c>
      <c r="E39" s="98">
        <f>79130+58115+54870</f>
        <v>192115</v>
      </c>
      <c r="F39" s="134"/>
      <c r="G39" s="256">
        <f t="shared" si="0"/>
        <v>10885</v>
      </c>
      <c r="H39" s="189" t="s">
        <v>1459</v>
      </c>
    </row>
    <row r="40" spans="1:8" x14ac:dyDescent="0.3">
      <c r="A40" s="179" t="s">
        <v>742</v>
      </c>
      <c r="B40" s="97" t="s">
        <v>762</v>
      </c>
      <c r="C40" s="219" t="s">
        <v>420</v>
      </c>
      <c r="D40" s="98">
        <v>66000</v>
      </c>
      <c r="E40" s="98">
        <f>26000+40000</f>
        <v>66000</v>
      </c>
      <c r="F40" s="134"/>
      <c r="G40" s="256">
        <f t="shared" si="0"/>
        <v>0</v>
      </c>
      <c r="H40" s="189"/>
    </row>
    <row r="41" spans="1:8" x14ac:dyDescent="0.3">
      <c r="A41" s="179" t="s">
        <v>654</v>
      </c>
      <c r="B41" s="97" t="s">
        <v>682</v>
      </c>
      <c r="C41" s="219" t="s">
        <v>421</v>
      </c>
      <c r="D41" s="98">
        <v>33000</v>
      </c>
      <c r="E41" s="98">
        <f>13200+19800</f>
        <v>33000</v>
      </c>
      <c r="F41" s="134"/>
      <c r="G41" s="256">
        <f t="shared" si="0"/>
        <v>0</v>
      </c>
      <c r="H41" s="189" t="s">
        <v>1375</v>
      </c>
    </row>
    <row r="42" spans="1:8" x14ac:dyDescent="0.3">
      <c r="A42" s="179"/>
      <c r="B42" s="97"/>
      <c r="C42" s="219"/>
      <c r="D42" s="98"/>
      <c r="E42" s="98"/>
      <c r="F42" s="134"/>
      <c r="G42" s="256"/>
      <c r="H42" s="189" t="s">
        <v>1834</v>
      </c>
    </row>
    <row r="43" spans="1:8" x14ac:dyDescent="0.3">
      <c r="A43" s="179" t="s">
        <v>1408</v>
      </c>
      <c r="B43" s="90" t="s">
        <v>1407</v>
      </c>
      <c r="C43" s="218" t="s">
        <v>1835</v>
      </c>
      <c r="D43" s="93"/>
      <c r="E43" s="98"/>
      <c r="F43" s="91"/>
      <c r="G43" s="256">
        <f t="shared" si="0"/>
        <v>0</v>
      </c>
      <c r="H43" s="189" t="s">
        <v>1836</v>
      </c>
    </row>
    <row r="44" spans="1:8" x14ac:dyDescent="0.3">
      <c r="A44" s="179"/>
      <c r="B44" s="90" t="s">
        <v>2744</v>
      </c>
      <c r="C44" s="218" t="s">
        <v>177</v>
      </c>
      <c r="D44" s="93">
        <f>14620+12900+2380+2100</f>
        <v>32000</v>
      </c>
      <c r="E44" s="98">
        <f>9920+13120+8960</f>
        <v>32000</v>
      </c>
      <c r="F44" s="91"/>
      <c r="G44" s="256">
        <f>D44-E44-F44</f>
        <v>0</v>
      </c>
      <c r="H44" s="189" t="s">
        <v>2655</v>
      </c>
    </row>
    <row r="45" spans="1:8" x14ac:dyDescent="0.3">
      <c r="A45" s="179"/>
      <c r="B45" s="90" t="s">
        <v>2617</v>
      </c>
      <c r="C45" s="218" t="s">
        <v>417</v>
      </c>
      <c r="D45" s="93">
        <f>13760+2240</f>
        <v>16000</v>
      </c>
      <c r="E45" s="98">
        <f>11360+4640</f>
        <v>16000</v>
      </c>
      <c r="F45" s="91"/>
      <c r="G45" s="256">
        <f t="shared" ref="G45:G78" si="1">D45-E45-F45</f>
        <v>0</v>
      </c>
      <c r="H45" s="189" t="s">
        <v>2822</v>
      </c>
    </row>
    <row r="46" spans="1:8" x14ac:dyDescent="0.3">
      <c r="A46" s="179"/>
      <c r="B46" s="90" t="s">
        <v>2748</v>
      </c>
      <c r="C46" s="218" t="s">
        <v>406</v>
      </c>
      <c r="D46" s="98">
        <v>8000</v>
      </c>
      <c r="E46" s="98">
        <f>5650+2320</f>
        <v>7970</v>
      </c>
      <c r="F46" s="91"/>
      <c r="G46" s="256">
        <f t="shared" si="1"/>
        <v>30</v>
      </c>
      <c r="H46" s="189" t="s">
        <v>2831</v>
      </c>
    </row>
    <row r="47" spans="1:8" x14ac:dyDescent="0.3">
      <c r="A47" s="179" t="s">
        <v>2820</v>
      </c>
      <c r="B47" s="90" t="s">
        <v>2748</v>
      </c>
      <c r="C47" s="218" t="s">
        <v>399</v>
      </c>
      <c r="D47" s="98">
        <v>4000</v>
      </c>
      <c r="E47" s="98">
        <f>2840+1160</f>
        <v>4000</v>
      </c>
      <c r="F47" s="91"/>
      <c r="G47" s="256">
        <f t="shared" si="1"/>
        <v>0</v>
      </c>
      <c r="H47" s="189"/>
    </row>
    <row r="48" spans="1:8" x14ac:dyDescent="0.3">
      <c r="A48" s="179" t="s">
        <v>2207</v>
      </c>
      <c r="B48" s="97" t="s">
        <v>2206</v>
      </c>
      <c r="C48" s="218" t="s">
        <v>403</v>
      </c>
      <c r="D48" s="98">
        <f>34830+55040+5670+10960</f>
        <v>106500</v>
      </c>
      <c r="E48" s="98">
        <f>34485+42845+27170</f>
        <v>104500</v>
      </c>
      <c r="F48" s="91"/>
      <c r="G48" s="256">
        <f t="shared" si="1"/>
        <v>2000</v>
      </c>
      <c r="H48" s="189" t="s">
        <v>2828</v>
      </c>
    </row>
    <row r="49" spans="1:8" x14ac:dyDescent="0.3">
      <c r="A49" s="179"/>
      <c r="B49" s="97" t="s">
        <v>2749</v>
      </c>
      <c r="C49" s="218" t="s">
        <v>410</v>
      </c>
      <c r="D49" s="98">
        <f>32250+5250</f>
        <v>37500</v>
      </c>
      <c r="E49" s="98">
        <f>25560+10440</f>
        <v>36000</v>
      </c>
      <c r="F49" s="91"/>
      <c r="G49" s="256">
        <f t="shared" si="1"/>
        <v>1500</v>
      </c>
      <c r="H49" s="189" t="s">
        <v>2827</v>
      </c>
    </row>
    <row r="50" spans="1:8" x14ac:dyDescent="0.3">
      <c r="A50" s="179"/>
      <c r="B50" s="97" t="s">
        <v>2041</v>
      </c>
      <c r="C50" s="218" t="s">
        <v>397</v>
      </c>
      <c r="D50" s="98">
        <f>29670+4830</f>
        <v>34500</v>
      </c>
      <c r="E50" s="98">
        <f>10695+14490+9315</f>
        <v>34500</v>
      </c>
      <c r="F50" s="91"/>
      <c r="G50" s="256">
        <f t="shared" si="1"/>
        <v>0</v>
      </c>
      <c r="H50" s="189" t="s">
        <v>2656</v>
      </c>
    </row>
    <row r="51" spans="1:8" x14ac:dyDescent="0.3">
      <c r="A51" s="179"/>
      <c r="B51" s="97" t="s">
        <v>2749</v>
      </c>
      <c r="C51" s="218" t="s">
        <v>420</v>
      </c>
      <c r="D51" s="98">
        <f>23220+25800+3780+4200</f>
        <v>57000</v>
      </c>
      <c r="E51" s="98">
        <f>42180+14820</f>
        <v>57000</v>
      </c>
      <c r="F51" s="91"/>
      <c r="G51" s="256">
        <f t="shared" si="1"/>
        <v>0</v>
      </c>
      <c r="H51" s="189" t="s">
        <v>2821</v>
      </c>
    </row>
    <row r="52" spans="1:8" x14ac:dyDescent="0.3">
      <c r="A52" s="179" t="s">
        <v>1842</v>
      </c>
      <c r="B52" s="97" t="s">
        <v>1845</v>
      </c>
      <c r="C52" s="218" t="s">
        <v>411</v>
      </c>
      <c r="D52" s="98">
        <f>63210+4290</f>
        <v>67500</v>
      </c>
      <c r="E52" s="98">
        <f>21600+27675+18225</f>
        <v>67500</v>
      </c>
      <c r="F52" s="91"/>
      <c r="G52" s="256">
        <f t="shared" si="1"/>
        <v>0</v>
      </c>
      <c r="H52" s="189" t="s">
        <v>2828</v>
      </c>
    </row>
    <row r="53" spans="1:8" x14ac:dyDescent="0.3">
      <c r="A53" s="179" t="s">
        <v>2207</v>
      </c>
      <c r="B53" s="97" t="s">
        <v>2208</v>
      </c>
      <c r="C53" s="218" t="s">
        <v>43</v>
      </c>
      <c r="D53" s="98">
        <f>54180+34830+28380+55040+28070</f>
        <v>200500</v>
      </c>
      <c r="E53" s="98">
        <f>66165+43890+40320+23250+26125</f>
        <v>199750</v>
      </c>
      <c r="F53" s="91"/>
      <c r="G53" s="256">
        <f t="shared" si="1"/>
        <v>750</v>
      </c>
      <c r="H53" s="189" t="s">
        <v>2588</v>
      </c>
    </row>
    <row r="54" spans="1:8" x14ac:dyDescent="0.3">
      <c r="A54" s="179" t="s">
        <v>1839</v>
      </c>
      <c r="B54" s="97" t="s">
        <v>1840</v>
      </c>
      <c r="C54" s="218" t="s">
        <v>416</v>
      </c>
      <c r="D54" s="98">
        <f>9030+14190+1470+2310</f>
        <v>27000</v>
      </c>
      <c r="E54" s="98">
        <f>8100+11070+7830</f>
        <v>27000</v>
      </c>
      <c r="F54" s="91"/>
      <c r="G54" s="256">
        <f t="shared" si="1"/>
        <v>0</v>
      </c>
      <c r="H54" s="189" t="s">
        <v>2654</v>
      </c>
    </row>
    <row r="55" spans="1:8" x14ac:dyDescent="0.3">
      <c r="A55" s="179" t="s">
        <v>1743</v>
      </c>
      <c r="B55" s="97" t="s">
        <v>1846</v>
      </c>
      <c r="C55" s="218" t="s">
        <v>105</v>
      </c>
      <c r="D55" s="98">
        <f>25800+4200</f>
        <v>30000</v>
      </c>
      <c r="E55" s="98">
        <f>9000+12300+8700</f>
        <v>30000</v>
      </c>
      <c r="F55" s="91"/>
      <c r="G55" s="256">
        <f t="shared" si="1"/>
        <v>0</v>
      </c>
      <c r="H55" s="189" t="s">
        <v>2828</v>
      </c>
    </row>
    <row r="56" spans="1:8" x14ac:dyDescent="0.3">
      <c r="A56" s="179" t="s">
        <v>2196</v>
      </c>
      <c r="B56" s="97" t="s">
        <v>2201</v>
      </c>
      <c r="C56" s="218" t="s">
        <v>1075</v>
      </c>
      <c r="D56" s="98">
        <f>59340+9660</f>
        <v>69000</v>
      </c>
      <c r="E56" s="98">
        <f>13800+20175+14490+20010</f>
        <v>68475</v>
      </c>
      <c r="F56" s="91"/>
      <c r="G56" s="256">
        <f t="shared" si="1"/>
        <v>525</v>
      </c>
      <c r="H56" s="189" t="s">
        <v>2594</v>
      </c>
    </row>
    <row r="57" spans="1:8" x14ac:dyDescent="0.3">
      <c r="A57" s="179"/>
      <c r="B57" s="97" t="s">
        <v>2592</v>
      </c>
      <c r="C57" s="218" t="s">
        <v>401</v>
      </c>
      <c r="D57" s="98">
        <v>4500</v>
      </c>
      <c r="E57" s="98">
        <f>3195+1305</f>
        <v>4500</v>
      </c>
      <c r="F57" s="91"/>
      <c r="G57" s="256">
        <f t="shared" si="1"/>
        <v>0</v>
      </c>
      <c r="H57" s="189" t="s">
        <v>2831</v>
      </c>
    </row>
    <row r="58" spans="1:8" x14ac:dyDescent="0.3">
      <c r="A58" s="179"/>
      <c r="B58" s="97" t="s">
        <v>2748</v>
      </c>
      <c r="C58" s="218" t="s">
        <v>413</v>
      </c>
      <c r="D58" s="98">
        <f>11610+1890</f>
        <v>13500</v>
      </c>
      <c r="E58" s="98">
        <f>9585+3915</f>
        <v>13500</v>
      </c>
      <c r="F58" s="91"/>
      <c r="G58" s="256">
        <f t="shared" si="1"/>
        <v>0</v>
      </c>
      <c r="H58" s="189" t="s">
        <v>2831</v>
      </c>
    </row>
    <row r="59" spans="1:8" x14ac:dyDescent="0.3">
      <c r="A59" s="179" t="s">
        <v>1848</v>
      </c>
      <c r="B59" s="97" t="s">
        <v>1851</v>
      </c>
      <c r="C59" s="218" t="s">
        <v>400</v>
      </c>
      <c r="D59" s="98">
        <f>50310+8190</f>
        <v>58500</v>
      </c>
      <c r="E59" s="98">
        <f>17550+23985+16965</f>
        <v>58500</v>
      </c>
      <c r="F59" s="91"/>
      <c r="G59" s="256">
        <f t="shared" si="1"/>
        <v>0</v>
      </c>
      <c r="H59" s="189" t="s">
        <v>2593</v>
      </c>
    </row>
    <row r="60" spans="1:8" x14ac:dyDescent="0.3">
      <c r="A60" s="179"/>
      <c r="B60" s="97" t="s">
        <v>2592</v>
      </c>
      <c r="C60" s="218" t="s">
        <v>415</v>
      </c>
      <c r="D60" s="98">
        <f>58050+99760+9450+16240</f>
        <v>183500</v>
      </c>
      <c r="E60" s="98">
        <f>130285+53215</f>
        <v>183500</v>
      </c>
      <c r="F60" s="91"/>
      <c r="G60" s="256">
        <f t="shared" si="1"/>
        <v>0</v>
      </c>
      <c r="H60" s="189" t="s">
        <v>2827</v>
      </c>
    </row>
    <row r="61" spans="1:8" x14ac:dyDescent="0.3">
      <c r="A61" s="179" t="s">
        <v>1848</v>
      </c>
      <c r="B61" s="97" t="s">
        <v>1849</v>
      </c>
      <c r="C61" s="218" t="s">
        <v>1831</v>
      </c>
      <c r="D61" s="98">
        <f>21930+3570</f>
        <v>25500</v>
      </c>
      <c r="E61" s="98">
        <f>7650+10455+7395</f>
        <v>25500</v>
      </c>
      <c r="F61" s="91"/>
      <c r="G61" s="256">
        <f t="shared" si="1"/>
        <v>0</v>
      </c>
      <c r="H61" s="189" t="s">
        <v>2828</v>
      </c>
    </row>
    <row r="62" spans="1:8" x14ac:dyDescent="0.3">
      <c r="A62" s="179"/>
      <c r="B62" s="97" t="s">
        <v>2749</v>
      </c>
      <c r="C62" s="218" t="s">
        <v>409</v>
      </c>
      <c r="D62" s="98">
        <f>14190+2310</f>
        <v>16500</v>
      </c>
      <c r="E62" s="98">
        <f>11715+4785</f>
        <v>16500</v>
      </c>
      <c r="F62" s="91"/>
      <c r="G62" s="256">
        <f t="shared" si="1"/>
        <v>0</v>
      </c>
      <c r="H62" s="189" t="s">
        <v>2831</v>
      </c>
    </row>
    <row r="63" spans="1:8" x14ac:dyDescent="0.3">
      <c r="A63" s="179"/>
      <c r="B63" s="97" t="s">
        <v>2749</v>
      </c>
      <c r="C63" s="218" t="s">
        <v>1832</v>
      </c>
      <c r="D63" s="98">
        <f>37410+6090</f>
        <v>43500</v>
      </c>
      <c r="E63" s="98">
        <f>30360+13050</f>
        <v>43410</v>
      </c>
      <c r="F63" s="91"/>
      <c r="G63" s="256">
        <f t="shared" si="1"/>
        <v>90</v>
      </c>
      <c r="H63" s="189" t="s">
        <v>2830</v>
      </c>
    </row>
    <row r="64" spans="1:8" x14ac:dyDescent="0.3">
      <c r="A64" s="179"/>
      <c r="B64" s="97" t="s">
        <v>2749</v>
      </c>
      <c r="C64" s="218" t="s">
        <v>44</v>
      </c>
      <c r="D64" s="98">
        <v>1500</v>
      </c>
      <c r="E64" s="98">
        <f>1080+420</f>
        <v>1500</v>
      </c>
      <c r="F64" s="91"/>
      <c r="G64" s="256">
        <f t="shared" si="1"/>
        <v>0</v>
      </c>
      <c r="H64" s="189" t="s">
        <v>2831</v>
      </c>
    </row>
    <row r="65" spans="1:8" x14ac:dyDescent="0.3">
      <c r="A65" s="179" t="s">
        <v>1842</v>
      </c>
      <c r="B65" s="97" t="s">
        <v>1843</v>
      </c>
      <c r="C65" s="218" t="s">
        <v>414</v>
      </c>
      <c r="D65" s="98">
        <f>34830+32680+10990</f>
        <v>78500</v>
      </c>
      <c r="E65" s="98">
        <f>23065+30450+22330</f>
        <v>75845</v>
      </c>
      <c r="F65" s="91"/>
      <c r="G65" s="256">
        <f t="shared" si="1"/>
        <v>2655</v>
      </c>
      <c r="H65" s="189" t="s">
        <v>2573</v>
      </c>
    </row>
    <row r="66" spans="1:8" x14ac:dyDescent="0.3">
      <c r="A66" s="179" t="s">
        <v>2517</v>
      </c>
      <c r="B66" s="97" t="s">
        <v>2745</v>
      </c>
      <c r="C66" s="218" t="s">
        <v>418</v>
      </c>
      <c r="D66" s="98">
        <f>15480+39990+9030</f>
        <v>64500</v>
      </c>
      <c r="E66" s="98">
        <f>20160+26445+17415</f>
        <v>64020</v>
      </c>
      <c r="F66" s="91"/>
      <c r="G66" s="256">
        <f t="shared" si="1"/>
        <v>480</v>
      </c>
      <c r="H66" s="189" t="s">
        <v>2589</v>
      </c>
    </row>
    <row r="67" spans="1:8" x14ac:dyDescent="0.3">
      <c r="A67" s="179"/>
      <c r="B67" s="97" t="s">
        <v>2747</v>
      </c>
      <c r="C67" s="218" t="s">
        <v>179</v>
      </c>
      <c r="D67" s="98">
        <f>12900+6600</f>
        <v>19500</v>
      </c>
      <c r="E67" s="98">
        <f>13845+5655</f>
        <v>19500</v>
      </c>
      <c r="F67" s="91"/>
      <c r="G67" s="256">
        <f t="shared" si="1"/>
        <v>0</v>
      </c>
      <c r="H67" s="189" t="s">
        <v>2824</v>
      </c>
    </row>
    <row r="68" spans="1:8" x14ac:dyDescent="0.3">
      <c r="A68" s="179" t="s">
        <v>1842</v>
      </c>
      <c r="B68" s="97" t="s">
        <v>1844</v>
      </c>
      <c r="C68" s="218" t="s">
        <v>419</v>
      </c>
      <c r="D68" s="98">
        <f>36120+34830+11550</f>
        <v>82500</v>
      </c>
      <c r="E68" s="98">
        <f>24750+33825+23925</f>
        <v>82500</v>
      </c>
      <c r="F68" s="91"/>
      <c r="G68" s="256">
        <f t="shared" si="1"/>
        <v>0</v>
      </c>
      <c r="H68" s="189" t="s">
        <v>2587</v>
      </c>
    </row>
    <row r="69" spans="1:8" x14ac:dyDescent="0.3">
      <c r="A69" s="179"/>
      <c r="B69" s="97" t="s">
        <v>2749</v>
      </c>
      <c r="C69" s="218" t="s">
        <v>124</v>
      </c>
      <c r="D69" s="98">
        <f>32250+5250</f>
        <v>37500</v>
      </c>
      <c r="E69" s="98">
        <f>26625+10875</f>
        <v>37500</v>
      </c>
      <c r="F69" s="91"/>
      <c r="G69" s="256">
        <f t="shared" si="1"/>
        <v>0</v>
      </c>
      <c r="H69" s="189" t="s">
        <v>2827</v>
      </c>
    </row>
    <row r="70" spans="1:8" x14ac:dyDescent="0.3">
      <c r="A70" s="179" t="s">
        <v>1848</v>
      </c>
      <c r="B70" s="97" t="s">
        <v>1850</v>
      </c>
      <c r="C70" s="218" t="s">
        <v>1833</v>
      </c>
      <c r="D70" s="98">
        <f>34830+5670</f>
        <v>40500</v>
      </c>
      <c r="E70" s="98">
        <f>15990+11700+12810</f>
        <v>40500</v>
      </c>
      <c r="F70" s="91"/>
      <c r="G70" s="256">
        <f t="shared" si="1"/>
        <v>0</v>
      </c>
      <c r="H70" s="189" t="s">
        <v>2823</v>
      </c>
    </row>
    <row r="71" spans="1:8" x14ac:dyDescent="0.3">
      <c r="A71" s="179"/>
      <c r="B71" s="97" t="s">
        <v>2746</v>
      </c>
      <c r="C71" s="218" t="s">
        <v>405</v>
      </c>
      <c r="D71" s="98">
        <f>15480+2520</f>
        <v>18000</v>
      </c>
      <c r="E71" s="98">
        <f>12780+5220</f>
        <v>18000</v>
      </c>
      <c r="F71" s="91"/>
      <c r="G71" s="256">
        <f t="shared" si="1"/>
        <v>0</v>
      </c>
      <c r="H71" s="189" t="s">
        <v>2831</v>
      </c>
    </row>
    <row r="72" spans="1:8" x14ac:dyDescent="0.3">
      <c r="A72" s="179"/>
      <c r="B72" s="97" t="s">
        <v>2574</v>
      </c>
      <c r="C72" s="218" t="s">
        <v>407</v>
      </c>
      <c r="D72" s="98">
        <f>41280+6720</f>
        <v>48000</v>
      </c>
      <c r="E72" s="98">
        <f>19680+13440+14880</f>
        <v>48000</v>
      </c>
      <c r="F72" s="134"/>
      <c r="G72" s="256">
        <f t="shared" si="1"/>
        <v>0</v>
      </c>
      <c r="H72" s="189" t="s">
        <v>2827</v>
      </c>
    </row>
    <row r="73" spans="1:8" x14ac:dyDescent="0.3">
      <c r="A73" s="179"/>
      <c r="B73" s="97" t="s">
        <v>2746</v>
      </c>
      <c r="C73" s="218" t="s">
        <v>398</v>
      </c>
      <c r="D73" s="98">
        <v>4500</v>
      </c>
      <c r="E73" s="98">
        <f>3195+1305</f>
        <v>4500</v>
      </c>
      <c r="F73" s="134"/>
      <c r="G73" s="256">
        <f t="shared" si="1"/>
        <v>0</v>
      </c>
      <c r="H73" s="189" t="s">
        <v>2831</v>
      </c>
    </row>
    <row r="74" spans="1:8" x14ac:dyDescent="0.3">
      <c r="A74" s="179" t="s">
        <v>1848</v>
      </c>
      <c r="B74" s="97" t="s">
        <v>1847</v>
      </c>
      <c r="C74" s="218" t="s">
        <v>421</v>
      </c>
      <c r="D74" s="98">
        <f>25800+4200</f>
        <v>30000</v>
      </c>
      <c r="E74" s="98">
        <f>9000+12300+8700</f>
        <v>30000</v>
      </c>
      <c r="F74" s="134"/>
      <c r="G74" s="256">
        <f t="shared" si="1"/>
        <v>0</v>
      </c>
      <c r="H74" s="189"/>
    </row>
    <row r="75" spans="1:8" x14ac:dyDescent="0.3">
      <c r="A75" s="179"/>
      <c r="B75" s="97" t="s">
        <v>1729</v>
      </c>
      <c r="C75" s="218" t="s">
        <v>402</v>
      </c>
      <c r="D75" s="98">
        <f>58050+12040+11410</f>
        <v>81500</v>
      </c>
      <c r="E75" s="98">
        <f>24450+33415+23635</f>
        <v>81500</v>
      </c>
      <c r="F75" s="134"/>
      <c r="G75" s="256">
        <f t="shared" si="1"/>
        <v>0</v>
      </c>
      <c r="H75" s="189" t="s">
        <v>2590</v>
      </c>
    </row>
    <row r="76" spans="1:8" x14ac:dyDescent="0.3">
      <c r="A76" s="179"/>
      <c r="B76" s="97" t="s">
        <v>2592</v>
      </c>
      <c r="C76" s="218" t="s">
        <v>412</v>
      </c>
      <c r="D76" s="98">
        <f>38700+6300</f>
        <v>45000</v>
      </c>
      <c r="E76" s="98">
        <f>30555+12615</f>
        <v>43170</v>
      </c>
      <c r="F76" s="134"/>
      <c r="G76" s="256">
        <f t="shared" si="1"/>
        <v>1830</v>
      </c>
      <c r="H76" s="189" t="s">
        <v>2822</v>
      </c>
    </row>
    <row r="77" spans="1:8" x14ac:dyDescent="0.3">
      <c r="A77" s="179"/>
      <c r="B77" s="97" t="s">
        <v>2749</v>
      </c>
      <c r="C77" s="218" t="s">
        <v>120</v>
      </c>
      <c r="D77" s="98">
        <f>36120+5880</f>
        <v>42000</v>
      </c>
      <c r="E77" s="98">
        <f>26625+10875</f>
        <v>37500</v>
      </c>
      <c r="F77" s="134"/>
      <c r="G77" s="256">
        <f t="shared" si="1"/>
        <v>4500</v>
      </c>
      <c r="H77" s="189" t="s">
        <v>2831</v>
      </c>
    </row>
    <row r="78" spans="1:8" x14ac:dyDescent="0.3">
      <c r="A78" s="179" t="s">
        <v>2204</v>
      </c>
      <c r="B78" s="97" t="s">
        <v>2205</v>
      </c>
      <c r="C78" s="218" t="s">
        <v>178</v>
      </c>
      <c r="D78" s="98">
        <f>30960+5040</f>
        <v>36000</v>
      </c>
      <c r="E78" s="98">
        <f>10800+14760+10440</f>
        <v>36000</v>
      </c>
      <c r="F78" s="134"/>
      <c r="G78" s="256">
        <f t="shared" si="1"/>
        <v>0</v>
      </c>
      <c r="H78" s="189" t="s">
        <v>2675</v>
      </c>
    </row>
    <row r="79" spans="1:8" x14ac:dyDescent="0.3">
      <c r="A79" s="179"/>
      <c r="B79" s="97"/>
      <c r="C79" s="219"/>
      <c r="D79" s="98"/>
      <c r="E79" s="98"/>
      <c r="F79" s="134"/>
      <c r="G79" s="262"/>
      <c r="H79" s="189"/>
    </row>
    <row r="80" spans="1:8" x14ac:dyDescent="0.3">
      <c r="A80" s="179"/>
      <c r="B80" s="90"/>
      <c r="C80" s="218" t="s">
        <v>1837</v>
      </c>
      <c r="D80" s="93">
        <v>5500</v>
      </c>
      <c r="E80" s="98"/>
      <c r="F80" s="91"/>
      <c r="G80" s="256"/>
      <c r="H80" s="189"/>
    </row>
    <row r="81" spans="1:8" x14ac:dyDescent="0.3">
      <c r="A81" s="179"/>
      <c r="B81" s="97"/>
      <c r="C81" s="219"/>
      <c r="D81" s="134"/>
      <c r="E81" s="91"/>
      <c r="F81" s="91"/>
      <c r="G81" s="262"/>
      <c r="H81" s="150"/>
    </row>
    <row r="82" spans="1:8" ht="19.5" thickBot="1" x14ac:dyDescent="0.35">
      <c r="A82" s="108"/>
      <c r="B82" s="143"/>
      <c r="C82" s="220" t="s">
        <v>107</v>
      </c>
      <c r="D82" s="170">
        <f>SUM(D8:D81)</f>
        <v>3387000</v>
      </c>
      <c r="E82" s="170">
        <f>SUM(E6:E81)</f>
        <v>3329650</v>
      </c>
      <c r="F82" s="170">
        <f>SUM(F6:F81)</f>
        <v>0</v>
      </c>
      <c r="G82" s="277">
        <f>D82-E82-F82</f>
        <v>57350</v>
      </c>
      <c r="H82" s="94"/>
    </row>
    <row r="83" spans="1:8" ht="19.5" thickTop="1" x14ac:dyDescent="0.3">
      <c r="D83" s="137"/>
      <c r="F83" s="176"/>
      <c r="G83" s="263"/>
    </row>
    <row r="84" spans="1:8" x14ac:dyDescent="0.3">
      <c r="D84" s="137"/>
      <c r="E84" s="132"/>
      <c r="F84" s="164"/>
      <c r="G84" s="8"/>
    </row>
    <row r="85" spans="1:8" x14ac:dyDescent="0.3">
      <c r="D85" s="137"/>
      <c r="E85" s="132"/>
      <c r="G85" s="8"/>
    </row>
    <row r="86" spans="1:8" x14ac:dyDescent="0.3">
      <c r="C86" s="50"/>
      <c r="E86" s="132"/>
      <c r="G86" s="50"/>
    </row>
    <row r="87" spans="1:8" x14ac:dyDescent="0.3">
      <c r="C87" s="50"/>
      <c r="E87" s="164"/>
      <c r="G87" s="50"/>
    </row>
    <row r="88" spans="1:8" x14ac:dyDescent="0.3">
      <c r="E88" s="139"/>
      <c r="F88" s="132"/>
      <c r="G88" s="50"/>
    </row>
    <row r="89" spans="1:8" x14ac:dyDescent="0.3">
      <c r="B89" s="138"/>
      <c r="C89" s="59"/>
      <c r="D89" s="171"/>
      <c r="E89" s="172"/>
      <c r="G89" s="264"/>
    </row>
    <row r="90" spans="1:8" x14ac:dyDescent="0.3">
      <c r="B90" s="138"/>
      <c r="C90" s="4"/>
      <c r="D90" s="140"/>
      <c r="E90" s="139"/>
    </row>
    <row r="91" spans="1:8" x14ac:dyDescent="0.3">
      <c r="B91" s="138"/>
      <c r="C91" s="4"/>
      <c r="D91" s="140"/>
      <c r="E91" s="139"/>
      <c r="G91" s="8"/>
    </row>
    <row r="92" spans="1:8" x14ac:dyDescent="0.3">
      <c r="B92" s="138"/>
      <c r="C92" s="4"/>
      <c r="D92" s="140"/>
      <c r="E92" s="139"/>
      <c r="G92" s="8"/>
    </row>
    <row r="93" spans="1:8" x14ac:dyDescent="0.3">
      <c r="B93" s="138"/>
      <c r="C93" s="4"/>
      <c r="D93" s="174"/>
      <c r="E93" s="146"/>
    </row>
    <row r="94" spans="1:8" x14ac:dyDescent="0.3">
      <c r="B94" s="138"/>
      <c r="C94" s="4"/>
      <c r="D94" s="138"/>
      <c r="E94" s="139"/>
    </row>
    <row r="95" spans="1:8" x14ac:dyDescent="0.3">
      <c r="B95" s="138"/>
      <c r="C95" s="4"/>
      <c r="D95" s="138"/>
      <c r="E95" s="146"/>
    </row>
  </sheetData>
  <mergeCells count="2">
    <mergeCell ref="A1:H1"/>
    <mergeCell ref="A2:H2"/>
  </mergeCells>
  <pageMargins left="0.27" right="0.15" top="0.15748031496062992" bottom="0.15748031496062992" header="0.15748031496062992" footer="0.15748031496062992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workbookViewId="0">
      <selection sqref="A1:H1"/>
    </sheetView>
  </sheetViews>
  <sheetFormatPr defaultRowHeight="18.75" x14ac:dyDescent="0.3"/>
  <cols>
    <col min="1" max="1" width="8.140625" style="23" customWidth="1"/>
    <col min="2" max="2" width="7.85546875" style="78" bestFit="1" customWidth="1"/>
    <col min="3" max="3" width="31.28515625" style="1" customWidth="1"/>
    <col min="4" max="4" width="10.7109375" style="78" customWidth="1"/>
    <col min="5" max="5" width="11.140625" style="78" customWidth="1"/>
    <col min="6" max="6" width="9.7109375" style="78" customWidth="1"/>
    <col min="7" max="7" width="11.85546875" style="78" customWidth="1"/>
    <col min="8" max="8" width="9.7109375" style="78" customWidth="1"/>
    <col min="9" max="9" width="11.28515625" style="78" customWidth="1"/>
    <col min="10" max="10" width="11" style="78" customWidth="1"/>
    <col min="11" max="16384" width="9.140625" style="78"/>
  </cols>
  <sheetData>
    <row r="1" spans="1:8" ht="17.25" x14ac:dyDescent="0.3">
      <c r="A1" s="453" t="s">
        <v>209</v>
      </c>
      <c r="B1" s="453"/>
      <c r="C1" s="453"/>
      <c r="D1" s="453"/>
      <c r="E1" s="453"/>
      <c r="F1" s="453"/>
      <c r="G1" s="453"/>
      <c r="H1" s="453"/>
    </row>
    <row r="2" spans="1:8" ht="17.25" x14ac:dyDescent="0.3">
      <c r="A2" s="453" t="s">
        <v>2667</v>
      </c>
      <c r="B2" s="453"/>
      <c r="C2" s="453"/>
      <c r="D2" s="453"/>
      <c r="E2" s="453"/>
      <c r="F2" s="453"/>
      <c r="G2" s="453"/>
      <c r="H2" s="453"/>
    </row>
    <row r="3" spans="1:8" x14ac:dyDescent="0.3">
      <c r="A3" s="101" t="s">
        <v>127</v>
      </c>
      <c r="B3" s="77"/>
      <c r="C3" s="63"/>
      <c r="D3" s="77"/>
      <c r="E3" s="152"/>
      <c r="F3" s="77"/>
      <c r="G3" s="169" t="s">
        <v>5</v>
      </c>
      <c r="H3" s="169" t="s">
        <v>218</v>
      </c>
    </row>
    <row r="4" spans="1:8" x14ac:dyDescent="0.3">
      <c r="A4" s="178" t="s">
        <v>16</v>
      </c>
      <c r="B4" s="156" t="s">
        <v>12</v>
      </c>
      <c r="C4" s="65" t="s">
        <v>4</v>
      </c>
      <c r="D4" s="82" t="s">
        <v>15</v>
      </c>
      <c r="E4" s="82" t="s">
        <v>1</v>
      </c>
      <c r="F4" s="82" t="s">
        <v>34</v>
      </c>
      <c r="G4" s="83" t="s">
        <v>2</v>
      </c>
      <c r="H4" s="81" t="s">
        <v>3</v>
      </c>
    </row>
    <row r="5" spans="1:8" x14ac:dyDescent="0.3">
      <c r="A5" s="105"/>
      <c r="B5" s="84"/>
      <c r="C5" s="68"/>
      <c r="D5" s="86" t="s">
        <v>0</v>
      </c>
      <c r="E5" s="86"/>
      <c r="F5" s="86" t="s">
        <v>35</v>
      </c>
      <c r="G5" s="87"/>
      <c r="H5" s="158"/>
    </row>
    <row r="6" spans="1:8" x14ac:dyDescent="0.3">
      <c r="A6" s="179" t="s">
        <v>376</v>
      </c>
      <c r="B6" s="90" t="s">
        <v>395</v>
      </c>
      <c r="C6" s="219" t="s">
        <v>422</v>
      </c>
      <c r="D6" s="98">
        <v>100000</v>
      </c>
      <c r="E6" s="98"/>
      <c r="F6" s="91"/>
      <c r="G6" s="92">
        <f>D6</f>
        <v>100000</v>
      </c>
      <c r="H6" s="189"/>
    </row>
    <row r="7" spans="1:8" x14ac:dyDescent="0.3">
      <c r="A7" s="179" t="s">
        <v>857</v>
      </c>
      <c r="B7" s="97" t="s">
        <v>877</v>
      </c>
      <c r="C7" s="219" t="s">
        <v>878</v>
      </c>
      <c r="D7" s="98"/>
      <c r="E7" s="98">
        <v>2440</v>
      </c>
      <c r="F7" s="91"/>
      <c r="G7" s="92">
        <f t="shared" ref="G7:G22" si="0">G6-E7</f>
        <v>97560</v>
      </c>
      <c r="H7" s="189"/>
    </row>
    <row r="8" spans="1:8" x14ac:dyDescent="0.3">
      <c r="A8" s="179"/>
      <c r="B8" s="97" t="s">
        <v>911</v>
      </c>
      <c r="C8" s="219" t="s">
        <v>910</v>
      </c>
      <c r="D8" s="98"/>
      <c r="E8" s="98">
        <v>4110</v>
      </c>
      <c r="F8" s="91"/>
      <c r="G8" s="92">
        <f t="shared" si="0"/>
        <v>93450</v>
      </c>
      <c r="H8" s="189"/>
    </row>
    <row r="9" spans="1:8" x14ac:dyDescent="0.3">
      <c r="A9" s="179"/>
      <c r="B9" s="97" t="s">
        <v>912</v>
      </c>
      <c r="C9" s="219" t="s">
        <v>878</v>
      </c>
      <c r="D9" s="98"/>
      <c r="E9" s="98">
        <v>6710</v>
      </c>
      <c r="F9" s="91"/>
      <c r="G9" s="92">
        <f t="shared" si="0"/>
        <v>86740</v>
      </c>
      <c r="H9" s="189"/>
    </row>
    <row r="10" spans="1:8" x14ac:dyDescent="0.3">
      <c r="A10" s="179" t="s">
        <v>1016</v>
      </c>
      <c r="B10" s="97" t="s">
        <v>1038</v>
      </c>
      <c r="C10" s="219" t="s">
        <v>761</v>
      </c>
      <c r="D10" s="98"/>
      <c r="E10" s="98">
        <v>8334</v>
      </c>
      <c r="F10" s="91"/>
      <c r="G10" s="92">
        <f t="shared" si="0"/>
        <v>78406</v>
      </c>
      <c r="H10" s="189"/>
    </row>
    <row r="11" spans="1:8" x14ac:dyDescent="0.3">
      <c r="A11" s="179" t="s">
        <v>1065</v>
      </c>
      <c r="B11" s="97" t="s">
        <v>1077</v>
      </c>
      <c r="C11" s="219" t="s">
        <v>878</v>
      </c>
      <c r="D11" s="98"/>
      <c r="E11" s="98">
        <v>6405</v>
      </c>
      <c r="F11" s="91"/>
      <c r="G11" s="92">
        <f t="shared" si="0"/>
        <v>72001</v>
      </c>
      <c r="H11" s="189"/>
    </row>
    <row r="12" spans="1:8" x14ac:dyDescent="0.3">
      <c r="A12" s="179"/>
      <c r="B12" s="97"/>
      <c r="C12" s="219"/>
      <c r="D12" s="98"/>
      <c r="E12" s="98"/>
      <c r="F12" s="91"/>
      <c r="G12" s="92">
        <f t="shared" si="0"/>
        <v>72001</v>
      </c>
      <c r="H12" s="189"/>
    </row>
    <row r="13" spans="1:8" x14ac:dyDescent="0.3">
      <c r="A13" s="179" t="s">
        <v>1128</v>
      </c>
      <c r="B13" s="97" t="s">
        <v>1134</v>
      </c>
      <c r="C13" s="219" t="s">
        <v>761</v>
      </c>
      <c r="D13" s="98"/>
      <c r="E13" s="98">
        <v>10092</v>
      </c>
      <c r="F13" s="91"/>
      <c r="G13" s="92">
        <f t="shared" si="0"/>
        <v>61909</v>
      </c>
      <c r="H13" s="189"/>
    </row>
    <row r="14" spans="1:8" x14ac:dyDescent="0.3">
      <c r="A14" s="179" t="s">
        <v>1159</v>
      </c>
      <c r="B14" s="97" t="s">
        <v>1209</v>
      </c>
      <c r="C14" s="219" t="s">
        <v>761</v>
      </c>
      <c r="D14" s="98"/>
      <c r="E14" s="98">
        <v>3300</v>
      </c>
      <c r="F14" s="91"/>
      <c r="G14" s="92">
        <f t="shared" si="0"/>
        <v>58609</v>
      </c>
      <c r="H14" s="189"/>
    </row>
    <row r="15" spans="1:8" x14ac:dyDescent="0.3">
      <c r="A15" s="179" t="s">
        <v>1320</v>
      </c>
      <c r="B15" s="97" t="s">
        <v>1363</v>
      </c>
      <c r="C15" s="219" t="s">
        <v>761</v>
      </c>
      <c r="D15" s="98"/>
      <c r="E15" s="98">
        <v>10566</v>
      </c>
      <c r="F15" s="91"/>
      <c r="G15" s="92">
        <f t="shared" si="0"/>
        <v>48043</v>
      </c>
      <c r="H15" s="189"/>
    </row>
    <row r="16" spans="1:8" x14ac:dyDescent="0.3">
      <c r="A16" s="179" t="s">
        <v>1327</v>
      </c>
      <c r="B16" s="97" t="s">
        <v>1370</v>
      </c>
      <c r="C16" s="219" t="s">
        <v>1374</v>
      </c>
      <c r="D16" s="98"/>
      <c r="E16" s="98">
        <v>6405</v>
      </c>
      <c r="F16" s="91"/>
      <c r="G16" s="92">
        <f t="shared" si="0"/>
        <v>41638</v>
      </c>
      <c r="H16" s="189"/>
    </row>
    <row r="17" spans="1:8" x14ac:dyDescent="0.3">
      <c r="A17" s="179" t="s">
        <v>1443</v>
      </c>
      <c r="B17" s="97" t="s">
        <v>1460</v>
      </c>
      <c r="C17" s="219" t="s">
        <v>910</v>
      </c>
      <c r="D17" s="98"/>
      <c r="E17" s="98">
        <v>3500</v>
      </c>
      <c r="F17" s="91"/>
      <c r="G17" s="92">
        <f t="shared" si="0"/>
        <v>38138</v>
      </c>
      <c r="H17" s="189"/>
    </row>
    <row r="18" spans="1:8" x14ac:dyDescent="0.3">
      <c r="A18" s="179" t="s">
        <v>1553</v>
      </c>
      <c r="B18" s="97" t="s">
        <v>1552</v>
      </c>
      <c r="C18" s="219" t="s">
        <v>1556</v>
      </c>
      <c r="D18" s="98"/>
      <c r="E18" s="98">
        <v>4270</v>
      </c>
      <c r="F18" s="91"/>
      <c r="G18" s="92">
        <f t="shared" si="0"/>
        <v>33868</v>
      </c>
      <c r="H18" s="189"/>
    </row>
    <row r="19" spans="1:8" x14ac:dyDescent="0.3">
      <c r="A19" s="179" t="s">
        <v>1558</v>
      </c>
      <c r="B19" s="97" t="s">
        <v>1557</v>
      </c>
      <c r="C19" s="219" t="s">
        <v>1559</v>
      </c>
      <c r="D19" s="98"/>
      <c r="E19" s="98">
        <v>3850</v>
      </c>
      <c r="F19" s="91"/>
      <c r="G19" s="92">
        <f t="shared" si="0"/>
        <v>30018</v>
      </c>
      <c r="H19" s="189"/>
    </row>
    <row r="20" spans="1:8" x14ac:dyDescent="0.3">
      <c r="A20" s="179" t="s">
        <v>1685</v>
      </c>
      <c r="B20" s="97" t="s">
        <v>1684</v>
      </c>
      <c r="C20" s="219" t="s">
        <v>761</v>
      </c>
      <c r="D20" s="98"/>
      <c r="E20" s="98">
        <v>5004</v>
      </c>
      <c r="F20" s="91"/>
      <c r="G20" s="92">
        <f t="shared" si="0"/>
        <v>25014</v>
      </c>
      <c r="H20" s="189"/>
    </row>
    <row r="21" spans="1:8" x14ac:dyDescent="0.3">
      <c r="A21" s="179" t="s">
        <v>1743</v>
      </c>
      <c r="B21" s="97" t="s">
        <v>1817</v>
      </c>
      <c r="C21" s="219" t="s">
        <v>1816</v>
      </c>
      <c r="D21" s="98"/>
      <c r="E21" s="98">
        <v>5795</v>
      </c>
      <c r="F21" s="91"/>
      <c r="G21" s="92">
        <f t="shared" si="0"/>
        <v>19219</v>
      </c>
      <c r="H21" s="189"/>
    </row>
    <row r="22" spans="1:8" x14ac:dyDescent="0.3">
      <c r="A22" s="179"/>
      <c r="B22" s="97" t="s">
        <v>1818</v>
      </c>
      <c r="C22" s="219" t="s">
        <v>1819</v>
      </c>
      <c r="D22" s="98"/>
      <c r="E22" s="98">
        <v>1510</v>
      </c>
      <c r="F22" s="91"/>
      <c r="G22" s="92">
        <f t="shared" si="0"/>
        <v>17709</v>
      </c>
      <c r="H22" s="189"/>
    </row>
    <row r="23" spans="1:8" ht="17.25" x14ac:dyDescent="0.3">
      <c r="A23" s="179" t="s">
        <v>1989</v>
      </c>
      <c r="B23" s="97" t="s">
        <v>1997</v>
      </c>
      <c r="C23" s="76" t="s">
        <v>2183</v>
      </c>
      <c r="D23" s="98">
        <v>50000</v>
      </c>
      <c r="E23" s="98"/>
      <c r="F23" s="91"/>
      <c r="G23" s="92">
        <f>G22+D23</f>
        <v>67709</v>
      </c>
      <c r="H23" s="189"/>
    </row>
    <row r="24" spans="1:8" x14ac:dyDescent="0.3">
      <c r="A24" s="179" t="s">
        <v>2137</v>
      </c>
      <c r="B24" s="97" t="s">
        <v>2199</v>
      </c>
      <c r="C24" s="219" t="s">
        <v>761</v>
      </c>
      <c r="D24" s="98"/>
      <c r="E24" s="98">
        <v>7806</v>
      </c>
      <c r="F24" s="91"/>
      <c r="G24" s="92">
        <f t="shared" ref="G24:G29" si="1">G23-E24-F24</f>
        <v>59903</v>
      </c>
      <c r="H24" s="189"/>
    </row>
    <row r="25" spans="1:8" x14ac:dyDescent="0.3">
      <c r="A25" s="179"/>
      <c r="B25" s="97" t="s">
        <v>2203</v>
      </c>
      <c r="C25" s="219" t="s">
        <v>2202</v>
      </c>
      <c r="D25" s="98"/>
      <c r="E25" s="98">
        <v>6405</v>
      </c>
      <c r="F25" s="91"/>
      <c r="G25" s="92">
        <f t="shared" si="1"/>
        <v>53498</v>
      </c>
      <c r="H25" s="189"/>
    </row>
    <row r="26" spans="1:8" x14ac:dyDescent="0.3">
      <c r="A26" s="179" t="s">
        <v>2540</v>
      </c>
      <c r="B26" s="97" t="s">
        <v>2591</v>
      </c>
      <c r="C26" s="219" t="s">
        <v>1</v>
      </c>
      <c r="D26" s="98"/>
      <c r="E26" s="98">
        <v>31140</v>
      </c>
      <c r="F26" s="91"/>
      <c r="G26" s="92">
        <f t="shared" si="1"/>
        <v>22358</v>
      </c>
      <c r="H26" s="189"/>
    </row>
    <row r="27" spans="1:8" x14ac:dyDescent="0.3">
      <c r="A27" s="179" t="s">
        <v>2596</v>
      </c>
      <c r="B27" s="97" t="s">
        <v>2595</v>
      </c>
      <c r="C27" s="219" t="s">
        <v>1</v>
      </c>
      <c r="D27" s="98"/>
      <c r="E27" s="98">
        <v>15657</v>
      </c>
      <c r="F27" s="91"/>
      <c r="G27" s="92">
        <f t="shared" si="1"/>
        <v>6701</v>
      </c>
      <c r="H27" s="189"/>
    </row>
    <row r="28" spans="1:8" x14ac:dyDescent="0.3">
      <c r="A28" s="179"/>
      <c r="B28" s="97" t="s">
        <v>2597</v>
      </c>
      <c r="C28" s="219" t="s">
        <v>910</v>
      </c>
      <c r="D28" s="98"/>
      <c r="E28" s="98">
        <v>4060</v>
      </c>
      <c r="F28" s="91"/>
      <c r="G28" s="92">
        <f t="shared" si="1"/>
        <v>2641</v>
      </c>
      <c r="H28" s="189"/>
    </row>
    <row r="29" spans="1:8" x14ac:dyDescent="0.3">
      <c r="A29" s="179" t="s">
        <v>2807</v>
      </c>
      <c r="B29" s="97" t="s">
        <v>2816</v>
      </c>
      <c r="C29" s="219" t="s">
        <v>910</v>
      </c>
      <c r="D29" s="98"/>
      <c r="E29" s="98">
        <v>2641</v>
      </c>
      <c r="F29" s="91"/>
      <c r="G29" s="256">
        <f t="shared" si="1"/>
        <v>0</v>
      </c>
      <c r="H29" s="189"/>
    </row>
    <row r="30" spans="1:8" x14ac:dyDescent="0.3">
      <c r="A30" s="179"/>
      <c r="B30" s="97"/>
      <c r="C30" s="219"/>
      <c r="D30" s="98"/>
      <c r="E30" s="98"/>
      <c r="F30" s="91"/>
      <c r="G30" s="256"/>
      <c r="H30" s="189"/>
    </row>
    <row r="31" spans="1:8" x14ac:dyDescent="0.3">
      <c r="A31" s="179"/>
      <c r="B31" s="97"/>
      <c r="C31" s="219"/>
      <c r="D31" s="98"/>
      <c r="E31" s="98"/>
      <c r="F31" s="91"/>
      <c r="G31" s="256"/>
      <c r="H31" s="189"/>
    </row>
    <row r="32" spans="1:8" x14ac:dyDescent="0.3">
      <c r="A32" s="179"/>
      <c r="B32" s="97"/>
      <c r="C32" s="377" t="s">
        <v>423</v>
      </c>
      <c r="D32" s="98">
        <v>100000</v>
      </c>
      <c r="E32" s="98"/>
      <c r="F32" s="134"/>
      <c r="G32" s="135">
        <f>D32</f>
        <v>100000</v>
      </c>
      <c r="H32" s="189"/>
    </row>
    <row r="33" spans="1:8" x14ac:dyDescent="0.3">
      <c r="A33" s="179" t="s">
        <v>742</v>
      </c>
      <c r="B33" s="97" t="s">
        <v>760</v>
      </c>
      <c r="C33" s="219" t="s">
        <v>761</v>
      </c>
      <c r="D33" s="98"/>
      <c r="E33" s="98">
        <v>1400</v>
      </c>
      <c r="F33" s="134"/>
      <c r="G33" s="135">
        <f t="shared" ref="G33:G41" si="2">G32-E33</f>
        <v>98600</v>
      </c>
      <c r="H33" s="189"/>
    </row>
    <row r="34" spans="1:8" x14ac:dyDescent="0.3">
      <c r="A34" s="179" t="s">
        <v>904</v>
      </c>
      <c r="B34" s="97" t="s">
        <v>906</v>
      </c>
      <c r="C34" s="219" t="s">
        <v>761</v>
      </c>
      <c r="D34" s="98"/>
      <c r="E34" s="98">
        <v>4200</v>
      </c>
      <c r="F34" s="134"/>
      <c r="G34" s="135">
        <f t="shared" si="2"/>
        <v>94400</v>
      </c>
      <c r="H34" s="189"/>
    </row>
    <row r="35" spans="1:8" x14ac:dyDescent="0.3">
      <c r="A35" s="179"/>
      <c r="B35" s="97" t="s">
        <v>908</v>
      </c>
      <c r="C35" s="219" t="s">
        <v>878</v>
      </c>
      <c r="D35" s="98"/>
      <c r="E35" s="98">
        <v>9000</v>
      </c>
      <c r="F35" s="134"/>
      <c r="G35" s="135">
        <f t="shared" si="2"/>
        <v>85400</v>
      </c>
      <c r="H35" s="189"/>
    </row>
    <row r="36" spans="1:8" x14ac:dyDescent="0.3">
      <c r="A36" s="179"/>
      <c r="B36" s="97" t="s">
        <v>909</v>
      </c>
      <c r="C36" s="219" t="s">
        <v>878</v>
      </c>
      <c r="D36" s="98"/>
      <c r="E36" s="98">
        <v>1800</v>
      </c>
      <c r="F36" s="134"/>
      <c r="G36" s="135">
        <f t="shared" si="2"/>
        <v>83600</v>
      </c>
      <c r="H36" s="189"/>
    </row>
    <row r="37" spans="1:8" x14ac:dyDescent="0.3">
      <c r="A37" s="179"/>
      <c r="B37" s="97" t="s">
        <v>1223</v>
      </c>
      <c r="C37" s="219" t="s">
        <v>878</v>
      </c>
      <c r="D37" s="98"/>
      <c r="E37" s="98">
        <v>18000</v>
      </c>
      <c r="F37" s="134"/>
      <c r="G37" s="135">
        <f t="shared" si="2"/>
        <v>65600</v>
      </c>
      <c r="H37" s="189"/>
    </row>
    <row r="38" spans="1:8" x14ac:dyDescent="0.3">
      <c r="A38" s="179" t="s">
        <v>1106</v>
      </c>
      <c r="B38" s="97" t="s">
        <v>1111</v>
      </c>
      <c r="C38" s="219" t="s">
        <v>761</v>
      </c>
      <c r="D38" s="98"/>
      <c r="E38" s="98">
        <v>4200</v>
      </c>
      <c r="F38" s="134"/>
      <c r="G38" s="135">
        <f t="shared" si="2"/>
        <v>61400</v>
      </c>
      <c r="H38" s="189"/>
    </row>
    <row r="39" spans="1:8" x14ac:dyDescent="0.3">
      <c r="A39" s="179" t="s">
        <v>1701</v>
      </c>
      <c r="B39" s="97" t="s">
        <v>1728</v>
      </c>
      <c r="C39" s="219" t="s">
        <v>761</v>
      </c>
      <c r="D39" s="98"/>
      <c r="E39" s="98">
        <v>4200</v>
      </c>
      <c r="F39" s="134"/>
      <c r="G39" s="135">
        <f t="shared" si="2"/>
        <v>57200</v>
      </c>
      <c r="H39" s="189"/>
    </row>
    <row r="40" spans="1:8" x14ac:dyDescent="0.3">
      <c r="A40" s="179" t="s">
        <v>1860</v>
      </c>
      <c r="B40" s="97" t="s">
        <v>1909</v>
      </c>
      <c r="C40" s="219" t="s">
        <v>1908</v>
      </c>
      <c r="D40" s="98"/>
      <c r="E40" s="98">
        <v>27000</v>
      </c>
      <c r="F40" s="134"/>
      <c r="G40" s="135">
        <f t="shared" si="2"/>
        <v>30200</v>
      </c>
      <c r="H40" s="189"/>
    </row>
    <row r="41" spans="1:8" x14ac:dyDescent="0.3">
      <c r="A41" s="179" t="s">
        <v>1743</v>
      </c>
      <c r="B41" s="97" t="s">
        <v>1838</v>
      </c>
      <c r="C41" s="219" t="s">
        <v>878</v>
      </c>
      <c r="D41" s="98"/>
      <c r="E41" s="98">
        <v>12300</v>
      </c>
      <c r="F41" s="134"/>
      <c r="G41" s="135">
        <f t="shared" si="2"/>
        <v>17900</v>
      </c>
      <c r="H41" s="189"/>
    </row>
    <row r="42" spans="1:8" ht="17.25" x14ac:dyDescent="0.3">
      <c r="A42" s="179" t="s">
        <v>1989</v>
      </c>
      <c r="B42" s="97" t="s">
        <v>1997</v>
      </c>
      <c r="C42" s="76" t="s">
        <v>2183</v>
      </c>
      <c r="D42" s="98">
        <v>50000</v>
      </c>
      <c r="E42" s="98"/>
      <c r="F42" s="134"/>
      <c r="G42" s="135">
        <f>G41+D42</f>
        <v>67900</v>
      </c>
      <c r="H42" s="189"/>
    </row>
    <row r="43" spans="1:8" x14ac:dyDescent="0.3">
      <c r="A43" s="179"/>
      <c r="B43" s="97" t="s">
        <v>2618</v>
      </c>
      <c r="C43" s="219" t="s">
        <v>2928</v>
      </c>
      <c r="D43" s="98"/>
      <c r="E43" s="98">
        <v>9000</v>
      </c>
      <c r="F43" s="134"/>
      <c r="G43" s="135">
        <f t="shared" ref="G43:G48" si="3">G42-E43</f>
        <v>58900</v>
      </c>
      <c r="H43" s="189"/>
    </row>
    <row r="44" spans="1:8" x14ac:dyDescent="0.3">
      <c r="A44" s="179"/>
      <c r="B44" s="97" t="s">
        <v>2619</v>
      </c>
      <c r="C44" s="219" t="s">
        <v>2929</v>
      </c>
      <c r="D44" s="98"/>
      <c r="E44" s="98">
        <v>9000</v>
      </c>
      <c r="F44" s="134"/>
      <c r="G44" s="135">
        <f t="shared" si="3"/>
        <v>49900</v>
      </c>
      <c r="H44" s="189"/>
    </row>
    <row r="45" spans="1:8" x14ac:dyDescent="0.3">
      <c r="A45" s="179" t="s">
        <v>2799</v>
      </c>
      <c r="B45" s="97" t="s">
        <v>2813</v>
      </c>
      <c r="C45" s="219" t="s">
        <v>2626</v>
      </c>
      <c r="D45" s="98"/>
      <c r="E45" s="98">
        <v>29900</v>
      </c>
      <c r="F45" s="134"/>
      <c r="G45" s="135">
        <f t="shared" si="3"/>
        <v>20000</v>
      </c>
      <c r="H45" s="189"/>
    </row>
    <row r="46" spans="1:8" x14ac:dyDescent="0.3">
      <c r="A46" s="179"/>
      <c r="B46" s="97" t="s">
        <v>2814</v>
      </c>
      <c r="C46" s="219" t="s">
        <v>2815</v>
      </c>
      <c r="D46" s="98"/>
      <c r="E46" s="98">
        <v>6800</v>
      </c>
      <c r="F46" s="134"/>
      <c r="G46" s="135">
        <f t="shared" si="3"/>
        <v>13200</v>
      </c>
      <c r="H46" s="189"/>
    </row>
    <row r="47" spans="1:8" x14ac:dyDescent="0.3">
      <c r="A47" s="179"/>
      <c r="B47" s="97" t="s">
        <v>2829</v>
      </c>
      <c r="C47" s="219" t="s">
        <v>1285</v>
      </c>
      <c r="D47" s="98"/>
      <c r="E47" s="98">
        <v>4200</v>
      </c>
      <c r="F47" s="134"/>
      <c r="G47" s="135">
        <f t="shared" si="3"/>
        <v>9000</v>
      </c>
      <c r="H47" s="189"/>
    </row>
    <row r="48" spans="1:8" x14ac:dyDescent="0.3">
      <c r="A48" s="179" t="s">
        <v>2864</v>
      </c>
      <c r="B48" s="97" t="s">
        <v>2863</v>
      </c>
      <c r="C48" s="219" t="s">
        <v>2625</v>
      </c>
      <c r="D48" s="98"/>
      <c r="E48" s="98">
        <v>9000</v>
      </c>
      <c r="F48" s="134"/>
      <c r="G48" s="262">
        <f t="shared" si="3"/>
        <v>0</v>
      </c>
      <c r="H48" s="189"/>
    </row>
    <row r="49" spans="1:8" x14ac:dyDescent="0.3">
      <c r="A49" s="179"/>
      <c r="B49" s="97"/>
      <c r="C49" s="219"/>
      <c r="D49" s="98"/>
      <c r="E49" s="98"/>
      <c r="F49" s="134"/>
      <c r="G49" s="262"/>
      <c r="H49" s="189"/>
    </row>
    <row r="50" spans="1:8" x14ac:dyDescent="0.3">
      <c r="A50" s="179"/>
      <c r="B50" s="97"/>
      <c r="C50" s="219"/>
      <c r="D50" s="98"/>
      <c r="E50" s="98"/>
      <c r="F50" s="134"/>
      <c r="G50" s="262"/>
      <c r="H50" s="189"/>
    </row>
    <row r="51" spans="1:8" x14ac:dyDescent="0.3">
      <c r="A51" s="179"/>
      <c r="B51" s="97"/>
      <c r="C51" s="377" t="s">
        <v>424</v>
      </c>
      <c r="D51" s="98">
        <v>100000</v>
      </c>
      <c r="E51" s="177"/>
      <c r="F51" s="134"/>
      <c r="G51" s="135">
        <f>D51</f>
        <v>100000</v>
      </c>
      <c r="H51" s="189"/>
    </row>
    <row r="52" spans="1:8" x14ac:dyDescent="0.3">
      <c r="A52" s="179" t="s">
        <v>857</v>
      </c>
      <c r="B52" s="97" t="s">
        <v>879</v>
      </c>
      <c r="C52" s="219" t="s">
        <v>878</v>
      </c>
      <c r="D52" s="98"/>
      <c r="E52" s="98">
        <v>2450</v>
      </c>
      <c r="F52" s="134"/>
      <c r="G52" s="135">
        <f>G51-E52</f>
        <v>97550</v>
      </c>
      <c r="H52" s="189"/>
    </row>
    <row r="53" spans="1:8" x14ac:dyDescent="0.3">
      <c r="A53" s="179" t="s">
        <v>904</v>
      </c>
      <c r="B53" s="97" t="s">
        <v>905</v>
      </c>
      <c r="C53" s="219" t="s">
        <v>878</v>
      </c>
      <c r="D53" s="98"/>
      <c r="E53" s="98">
        <v>7350</v>
      </c>
      <c r="F53" s="134"/>
      <c r="G53" s="135">
        <f>G52-E53</f>
        <v>90200</v>
      </c>
      <c r="H53" s="189"/>
    </row>
    <row r="54" spans="1:8" x14ac:dyDescent="0.3">
      <c r="A54" s="179" t="s">
        <v>1167</v>
      </c>
      <c r="B54" s="97" t="s">
        <v>1222</v>
      </c>
      <c r="C54" s="219" t="s">
        <v>878</v>
      </c>
      <c r="D54" s="98"/>
      <c r="E54" s="98">
        <v>7350</v>
      </c>
      <c r="F54" s="134"/>
      <c r="G54" s="135">
        <f>G53-E54</f>
        <v>82850</v>
      </c>
      <c r="H54" s="189"/>
    </row>
    <row r="55" spans="1:8" x14ac:dyDescent="0.3">
      <c r="A55" s="179" t="s">
        <v>1320</v>
      </c>
      <c r="B55" s="97" t="s">
        <v>1364</v>
      </c>
      <c r="C55" s="219" t="s">
        <v>761</v>
      </c>
      <c r="D55" s="98"/>
      <c r="E55" s="98">
        <v>22400</v>
      </c>
      <c r="F55" s="134"/>
      <c r="G55" s="135">
        <f>G54-E55</f>
        <v>60450</v>
      </c>
      <c r="H55" s="189"/>
    </row>
    <row r="56" spans="1:8" x14ac:dyDescent="0.3">
      <c r="A56" s="179"/>
      <c r="B56" s="97"/>
      <c r="C56" s="219"/>
      <c r="D56" s="98"/>
      <c r="E56" s="98">
        <v>3850</v>
      </c>
      <c r="F56" s="134"/>
      <c r="G56" s="135">
        <f t="shared" ref="G56:G57" si="4">G55-E56</f>
        <v>56600</v>
      </c>
      <c r="H56" s="189"/>
    </row>
    <row r="57" spans="1:8" x14ac:dyDescent="0.3">
      <c r="A57" s="179" t="s">
        <v>1743</v>
      </c>
      <c r="B57" s="97" t="s">
        <v>1822</v>
      </c>
      <c r="C57" s="219" t="s">
        <v>878</v>
      </c>
      <c r="D57" s="98"/>
      <c r="E57" s="98">
        <v>6650</v>
      </c>
      <c r="F57" s="134"/>
      <c r="G57" s="135">
        <f t="shared" si="4"/>
        <v>49950</v>
      </c>
      <c r="H57" s="189"/>
    </row>
    <row r="58" spans="1:8" ht="17.25" x14ac:dyDescent="0.3">
      <c r="A58" s="179" t="s">
        <v>1989</v>
      </c>
      <c r="B58" s="97" t="s">
        <v>1997</v>
      </c>
      <c r="C58" s="76" t="s">
        <v>2183</v>
      </c>
      <c r="D58" s="98">
        <v>50000</v>
      </c>
      <c r="E58" s="98"/>
      <c r="F58" s="134"/>
      <c r="G58" s="135">
        <f>G57+D58</f>
        <v>99950</v>
      </c>
      <c r="H58" s="189"/>
    </row>
    <row r="59" spans="1:8" x14ac:dyDescent="0.3">
      <c r="A59" s="179"/>
      <c r="B59" s="97" t="s">
        <v>2623</v>
      </c>
      <c r="C59" s="219" t="s">
        <v>2626</v>
      </c>
      <c r="D59" s="98"/>
      <c r="E59" s="98">
        <v>37560.75</v>
      </c>
      <c r="F59" s="134"/>
      <c r="G59" s="149">
        <f>G58-E59</f>
        <v>62389.25</v>
      </c>
      <c r="H59" s="189"/>
    </row>
    <row r="60" spans="1:8" x14ac:dyDescent="0.3">
      <c r="A60" s="179" t="s">
        <v>2622</v>
      </c>
      <c r="B60" s="97" t="s">
        <v>2620</v>
      </c>
      <c r="C60" s="219" t="s">
        <v>2624</v>
      </c>
      <c r="D60" s="98"/>
      <c r="E60" s="98">
        <v>7000</v>
      </c>
      <c r="F60" s="134"/>
      <c r="G60" s="149">
        <f t="shared" ref="G60:G65" si="5">G59-E60</f>
        <v>55389.25</v>
      </c>
      <c r="H60" s="189"/>
    </row>
    <row r="61" spans="1:8" x14ac:dyDescent="0.3">
      <c r="A61" s="179"/>
      <c r="B61" s="97" t="s">
        <v>2621</v>
      </c>
      <c r="C61" s="219" t="s">
        <v>2625</v>
      </c>
      <c r="D61" s="98"/>
      <c r="E61" s="98">
        <v>7350</v>
      </c>
      <c r="F61" s="134"/>
      <c r="G61" s="149">
        <f t="shared" si="5"/>
        <v>48039.25</v>
      </c>
      <c r="H61" s="189"/>
    </row>
    <row r="62" spans="1:8" x14ac:dyDescent="0.3">
      <c r="A62" s="179" t="s">
        <v>2741</v>
      </c>
      <c r="B62" s="97" t="s">
        <v>2792</v>
      </c>
      <c r="C62" s="219" t="s">
        <v>761</v>
      </c>
      <c r="D62" s="98"/>
      <c r="E62" s="98">
        <v>8350</v>
      </c>
      <c r="F62" s="134"/>
      <c r="G62" s="149">
        <f t="shared" si="5"/>
        <v>39689.25</v>
      </c>
      <c r="H62" s="189"/>
    </row>
    <row r="63" spans="1:8" x14ac:dyDescent="0.3">
      <c r="A63" s="179"/>
      <c r="B63" s="97" t="s">
        <v>2825</v>
      </c>
      <c r="C63" s="219" t="s">
        <v>2826</v>
      </c>
      <c r="D63" s="98"/>
      <c r="E63" s="98">
        <v>25600</v>
      </c>
      <c r="F63" s="134"/>
      <c r="G63" s="149">
        <f t="shared" si="5"/>
        <v>14089.25</v>
      </c>
      <c r="H63" s="189"/>
    </row>
    <row r="64" spans="1:8" x14ac:dyDescent="0.3">
      <c r="A64" s="179"/>
      <c r="B64" s="97" t="s">
        <v>2862</v>
      </c>
      <c r="C64" s="219" t="s">
        <v>761</v>
      </c>
      <c r="D64" s="98"/>
      <c r="E64" s="98">
        <v>7350</v>
      </c>
      <c r="F64" s="134"/>
      <c r="G64" s="149">
        <f t="shared" si="5"/>
        <v>6739.25</v>
      </c>
      <c r="H64" s="189"/>
    </row>
    <row r="65" spans="1:11" x14ac:dyDescent="0.3">
      <c r="A65" s="179"/>
      <c r="B65" s="97"/>
      <c r="C65" s="219" t="s">
        <v>2626</v>
      </c>
      <c r="D65" s="98"/>
      <c r="E65" s="98">
        <v>6721</v>
      </c>
      <c r="F65" s="134"/>
      <c r="G65" s="149">
        <f t="shared" si="5"/>
        <v>18.25</v>
      </c>
      <c r="H65" s="189"/>
    </row>
    <row r="66" spans="1:11" x14ac:dyDescent="0.3">
      <c r="A66" s="179"/>
      <c r="B66" s="97"/>
      <c r="C66" s="219"/>
      <c r="D66" s="98"/>
      <c r="E66" s="98"/>
      <c r="F66" s="134"/>
      <c r="G66" s="149"/>
      <c r="H66" s="189"/>
    </row>
    <row r="67" spans="1:11" x14ac:dyDescent="0.3">
      <c r="A67" s="179"/>
      <c r="B67" s="97"/>
      <c r="C67" s="219"/>
      <c r="D67" s="134"/>
      <c r="E67" s="91"/>
      <c r="F67" s="91"/>
      <c r="G67" s="135"/>
      <c r="H67" s="150"/>
    </row>
    <row r="68" spans="1:11" ht="19.5" thickBot="1" x14ac:dyDescent="0.35">
      <c r="A68" s="108"/>
      <c r="B68" s="143"/>
      <c r="C68" s="220" t="s">
        <v>107</v>
      </c>
      <c r="D68" s="170">
        <f>SUM(D6:D67)</f>
        <v>450000</v>
      </c>
      <c r="E68" s="170">
        <f>SUM(E6:E67)</f>
        <v>449981.75</v>
      </c>
      <c r="F68" s="170">
        <f>SUM(F6:F67)</f>
        <v>0</v>
      </c>
      <c r="G68" s="161">
        <f>D68-E68-F68</f>
        <v>18.25</v>
      </c>
      <c r="H68" s="94"/>
    </row>
    <row r="69" spans="1:11" ht="19.5" thickTop="1" x14ac:dyDescent="0.3">
      <c r="D69" s="137"/>
      <c r="F69" s="176"/>
      <c r="G69" s="199"/>
    </row>
    <row r="70" spans="1:11" x14ac:dyDescent="0.3">
      <c r="D70" s="137"/>
      <c r="E70" s="132"/>
      <c r="F70" s="164"/>
      <c r="G70" s="132"/>
    </row>
    <row r="71" spans="1:11" x14ac:dyDescent="0.3">
      <c r="D71" s="137"/>
      <c r="E71" s="132"/>
      <c r="G71" s="132"/>
      <c r="I71" s="132"/>
    </row>
    <row r="72" spans="1:11" x14ac:dyDescent="0.3">
      <c r="C72" s="50"/>
      <c r="E72" s="132"/>
      <c r="G72" s="164"/>
      <c r="I72" s="132"/>
    </row>
    <row r="73" spans="1:11" x14ac:dyDescent="0.3">
      <c r="C73" s="50"/>
      <c r="E73" s="164"/>
      <c r="G73" s="164"/>
      <c r="I73" s="164"/>
      <c r="K73" s="164"/>
    </row>
    <row r="74" spans="1:11" x14ac:dyDescent="0.3">
      <c r="E74" s="139"/>
      <c r="F74" s="132"/>
      <c r="G74" s="164"/>
      <c r="I74" s="132"/>
      <c r="J74" s="132"/>
      <c r="K74" s="164"/>
    </row>
    <row r="75" spans="1:11" x14ac:dyDescent="0.3">
      <c r="B75" s="138"/>
      <c r="C75" s="59"/>
      <c r="D75" s="171"/>
      <c r="E75" s="172"/>
      <c r="G75" s="173"/>
      <c r="K75" s="173"/>
    </row>
    <row r="76" spans="1:11" x14ac:dyDescent="0.3">
      <c r="B76" s="138"/>
      <c r="C76" s="4"/>
      <c r="D76" s="140"/>
      <c r="E76" s="139"/>
    </row>
    <row r="77" spans="1:11" x14ac:dyDescent="0.3">
      <c r="B77" s="138"/>
      <c r="C77" s="4"/>
      <c r="D77" s="140"/>
      <c r="E77" s="139"/>
      <c r="G77" s="132"/>
      <c r="K77" s="132"/>
    </row>
    <row r="78" spans="1:11" x14ac:dyDescent="0.3">
      <c r="B78" s="138"/>
      <c r="C78" s="4"/>
      <c r="D78" s="140"/>
      <c r="E78" s="139"/>
      <c r="G78" s="132"/>
    </row>
    <row r="79" spans="1:11" x14ac:dyDescent="0.3">
      <c r="B79" s="138"/>
      <c r="C79" s="4"/>
      <c r="D79" s="174"/>
      <c r="E79" s="146"/>
    </row>
    <row r="80" spans="1:11" x14ac:dyDescent="0.3">
      <c r="B80" s="138"/>
      <c r="C80" s="4"/>
      <c r="D80" s="138"/>
      <c r="E80" s="139"/>
    </row>
    <row r="81" spans="2:5" x14ac:dyDescent="0.3">
      <c r="B81" s="138"/>
      <c r="C81" s="4"/>
      <c r="D81" s="138"/>
      <c r="E81" s="146"/>
    </row>
  </sheetData>
  <mergeCells count="2">
    <mergeCell ref="A1:H1"/>
    <mergeCell ref="A2:H2"/>
  </mergeCells>
  <pageMargins left="0.27" right="0.15" top="0.15748031496062992" bottom="0.15748031496062992" header="0.15748031496062992" footer="0.1574803149606299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J1" sqref="J1:Q1048576"/>
    </sheetView>
  </sheetViews>
  <sheetFormatPr defaultRowHeight="18.75" x14ac:dyDescent="0.3"/>
  <cols>
    <col min="1" max="1" width="7" style="1" customWidth="1"/>
    <col min="2" max="2" width="7.5703125" style="1" customWidth="1"/>
    <col min="3" max="3" width="37.140625" style="1" customWidth="1"/>
    <col min="4" max="4" width="10.5703125" style="1" customWidth="1"/>
    <col min="5" max="5" width="10" style="1" customWidth="1"/>
    <col min="6" max="6" width="9.28515625" style="1" customWidth="1"/>
    <col min="7" max="7" width="10.42578125" style="1" customWidth="1"/>
    <col min="8" max="8" width="8.42578125" style="1" customWidth="1"/>
    <col min="9" max="16384" width="9.140625" style="1"/>
  </cols>
  <sheetData>
    <row r="1" spans="1:8" x14ac:dyDescent="0.3">
      <c r="A1" s="451" t="s">
        <v>2462</v>
      </c>
      <c r="B1" s="451"/>
      <c r="C1" s="451"/>
      <c r="D1" s="451"/>
      <c r="E1" s="451"/>
      <c r="F1" s="451"/>
      <c r="G1" s="451"/>
      <c r="H1" s="425" t="s">
        <v>160</v>
      </c>
    </row>
    <row r="2" spans="1:8" x14ac:dyDescent="0.3">
      <c r="A2" s="451" t="s">
        <v>2920</v>
      </c>
      <c r="B2" s="451"/>
      <c r="C2" s="451"/>
      <c r="D2" s="451"/>
      <c r="E2" s="451"/>
      <c r="F2" s="451"/>
      <c r="G2" s="451"/>
      <c r="H2" s="77"/>
    </row>
    <row r="3" spans="1:8" x14ac:dyDescent="0.3">
      <c r="A3" s="101" t="s">
        <v>14</v>
      </c>
      <c r="B3" s="63"/>
      <c r="C3" s="63"/>
      <c r="D3" s="63"/>
      <c r="E3" s="63"/>
      <c r="F3" s="63"/>
      <c r="G3" s="77" t="s">
        <v>161</v>
      </c>
      <c r="H3" s="77" t="s">
        <v>162</v>
      </c>
    </row>
    <row r="4" spans="1:8" x14ac:dyDescent="0.3">
      <c r="A4" s="102" t="s">
        <v>16</v>
      </c>
      <c r="B4" s="64" t="s">
        <v>12</v>
      </c>
      <c r="C4" s="65" t="s">
        <v>4</v>
      </c>
      <c r="D4" s="66" t="s">
        <v>25</v>
      </c>
      <c r="E4" s="103" t="s">
        <v>1</v>
      </c>
      <c r="F4" s="103"/>
      <c r="G4" s="66" t="s">
        <v>2</v>
      </c>
      <c r="H4" s="104" t="s">
        <v>3</v>
      </c>
    </row>
    <row r="5" spans="1:8" x14ac:dyDescent="0.3">
      <c r="A5" s="105"/>
      <c r="B5" s="67"/>
      <c r="C5" s="68"/>
      <c r="D5" s="69"/>
      <c r="E5" s="106"/>
      <c r="F5" s="106" t="s">
        <v>33</v>
      </c>
      <c r="G5" s="69"/>
      <c r="H5" s="107" t="s">
        <v>17</v>
      </c>
    </row>
    <row r="6" spans="1:8" x14ac:dyDescent="0.3">
      <c r="A6" s="89" t="s">
        <v>2864</v>
      </c>
      <c r="B6" s="90"/>
      <c r="C6" s="411" t="s">
        <v>2902</v>
      </c>
      <c r="D6" s="109"/>
      <c r="E6" s="73"/>
      <c r="F6" s="110"/>
      <c r="G6" s="110"/>
      <c r="H6" s="75"/>
    </row>
    <row r="7" spans="1:8" x14ac:dyDescent="0.3">
      <c r="A7" s="89"/>
      <c r="B7" s="90"/>
      <c r="C7" s="231"/>
      <c r="D7" s="109"/>
      <c r="E7" s="73"/>
      <c r="F7" s="110"/>
      <c r="G7" s="110"/>
      <c r="H7" s="75"/>
    </row>
    <row r="8" spans="1:8" x14ac:dyDescent="0.3">
      <c r="A8" s="89"/>
      <c r="B8" s="90">
        <v>1</v>
      </c>
      <c r="C8" s="231" t="s">
        <v>2873</v>
      </c>
      <c r="D8" s="293">
        <v>78500</v>
      </c>
      <c r="E8" s="281"/>
      <c r="F8" s="282">
        <v>78500</v>
      </c>
      <c r="G8" s="110">
        <f>D8-E8-F8</f>
        <v>0</v>
      </c>
      <c r="H8" s="269"/>
    </row>
    <row r="9" spans="1:8" x14ac:dyDescent="0.3">
      <c r="A9" s="108"/>
      <c r="B9" s="70"/>
      <c r="C9" s="231"/>
      <c r="D9" s="42"/>
      <c r="E9" s="73"/>
      <c r="F9" s="110"/>
      <c r="G9" s="110"/>
      <c r="H9" s="75"/>
    </row>
    <row r="10" spans="1:8" x14ac:dyDescent="0.3">
      <c r="A10" s="108"/>
      <c r="B10" s="70">
        <v>2</v>
      </c>
      <c r="C10" s="231" t="s">
        <v>2874</v>
      </c>
      <c r="D10" s="109">
        <v>275000</v>
      </c>
      <c r="E10" s="110"/>
      <c r="F10" s="110">
        <v>275000</v>
      </c>
      <c r="G10" s="110">
        <f t="shared" ref="G10:G15" si="0">D10-E10-F10</f>
        <v>0</v>
      </c>
      <c r="H10" s="348"/>
    </row>
    <row r="11" spans="1:8" x14ac:dyDescent="0.3">
      <c r="A11" s="108"/>
      <c r="B11" s="70"/>
      <c r="C11" s="218"/>
      <c r="D11" s="109"/>
      <c r="E11" s="110"/>
      <c r="F11" s="110"/>
      <c r="G11" s="110"/>
      <c r="H11" s="348"/>
    </row>
    <row r="12" spans="1:8" x14ac:dyDescent="0.3">
      <c r="A12" s="108"/>
      <c r="B12" s="70">
        <v>3</v>
      </c>
      <c r="C12" s="218" t="s">
        <v>2875</v>
      </c>
      <c r="D12" s="110">
        <v>157400</v>
      </c>
      <c r="E12" s="134"/>
      <c r="F12" s="110">
        <v>157400</v>
      </c>
      <c r="G12" s="110">
        <f t="shared" si="0"/>
        <v>0</v>
      </c>
      <c r="H12" s="75"/>
    </row>
    <row r="13" spans="1:8" x14ac:dyDescent="0.3">
      <c r="A13" s="108"/>
      <c r="B13" s="70"/>
      <c r="C13" s="49"/>
      <c r="D13" s="73"/>
      <c r="E13" s="134"/>
      <c r="F13" s="110"/>
      <c r="G13" s="110"/>
      <c r="H13" s="75"/>
    </row>
    <row r="14" spans="1:8" x14ac:dyDescent="0.3">
      <c r="A14" s="108"/>
      <c r="B14" s="70"/>
      <c r="C14" s="49"/>
      <c r="D14" s="73"/>
      <c r="E14" s="134"/>
      <c r="F14" s="110"/>
      <c r="G14" s="110"/>
      <c r="H14" s="75"/>
    </row>
    <row r="15" spans="1:8" x14ac:dyDescent="0.3">
      <c r="A15" s="108"/>
      <c r="B15" s="70">
        <v>4</v>
      </c>
      <c r="C15" s="231" t="s">
        <v>2876</v>
      </c>
      <c r="D15" s="109">
        <v>489100</v>
      </c>
      <c r="E15" s="110"/>
      <c r="F15" s="110">
        <v>444000</v>
      </c>
      <c r="G15" s="110">
        <f t="shared" si="0"/>
        <v>45100</v>
      </c>
      <c r="H15" s="75"/>
    </row>
    <row r="16" spans="1:8" x14ac:dyDescent="0.3">
      <c r="A16" s="108"/>
      <c r="B16" s="70"/>
      <c r="C16" s="49"/>
      <c r="D16" s="73"/>
      <c r="E16" s="134"/>
      <c r="F16" s="110"/>
      <c r="G16" s="110"/>
      <c r="H16" s="75"/>
    </row>
    <row r="17" spans="1:8" x14ac:dyDescent="0.3">
      <c r="A17" s="89"/>
      <c r="B17" s="90"/>
      <c r="C17" s="49"/>
      <c r="D17" s="109"/>
      <c r="E17" s="110"/>
      <c r="F17" s="110"/>
      <c r="G17" s="110"/>
      <c r="H17" s="75"/>
    </row>
    <row r="18" spans="1:8" x14ac:dyDescent="0.3">
      <c r="A18" s="108"/>
      <c r="B18" s="70"/>
      <c r="C18" s="49"/>
      <c r="D18" s="73"/>
      <c r="E18" s="134"/>
      <c r="F18" s="110"/>
      <c r="G18" s="110"/>
      <c r="H18" s="75"/>
    </row>
    <row r="19" spans="1:8" x14ac:dyDescent="0.3">
      <c r="A19" s="108"/>
      <c r="B19" s="70"/>
      <c r="C19" s="49"/>
      <c r="D19" s="73"/>
      <c r="E19" s="134"/>
      <c r="F19" s="110"/>
      <c r="G19" s="110"/>
      <c r="H19" s="75"/>
    </row>
    <row r="20" spans="1:8" x14ac:dyDescent="0.3">
      <c r="A20" s="108"/>
      <c r="B20" s="70"/>
      <c r="C20" s="94"/>
      <c r="D20" s="278"/>
      <c r="E20" s="73"/>
      <c r="F20" s="73"/>
      <c r="G20" s="110"/>
      <c r="H20" s="75"/>
    </row>
    <row r="21" spans="1:8" x14ac:dyDescent="0.3">
      <c r="A21" s="108"/>
      <c r="B21" s="70"/>
      <c r="C21" s="49"/>
      <c r="D21" s="73"/>
      <c r="E21" s="73"/>
      <c r="F21" s="73"/>
      <c r="G21" s="110"/>
      <c r="H21" s="75"/>
    </row>
    <row r="22" spans="1:8" x14ac:dyDescent="0.3">
      <c r="A22" s="114"/>
      <c r="B22" s="115"/>
      <c r="C22" s="116"/>
      <c r="D22" s="35"/>
      <c r="E22" s="35"/>
      <c r="F22" s="35"/>
      <c r="G22" s="35"/>
      <c r="H22" s="117"/>
    </row>
    <row r="23" spans="1:8" ht="19.5" thickBot="1" x14ac:dyDescent="0.35">
      <c r="A23" s="118"/>
      <c r="B23" s="119"/>
      <c r="C23" s="120" t="s">
        <v>150</v>
      </c>
      <c r="D23" s="170">
        <f>SUM(D7:D22)</f>
        <v>1000000</v>
      </c>
      <c r="E23" s="170">
        <f t="shared" ref="E23:F23" si="1">SUM(E7:E22)</f>
        <v>0</v>
      </c>
      <c r="F23" s="170">
        <f t="shared" si="1"/>
        <v>954900</v>
      </c>
      <c r="G23" s="170">
        <f>D23-E23-F23</f>
        <v>45100</v>
      </c>
      <c r="H23" s="122"/>
    </row>
    <row r="24" spans="1:8" ht="19.5" thickTop="1" x14ac:dyDescent="0.3"/>
  </sheetData>
  <mergeCells count="2">
    <mergeCell ref="A1:G1"/>
    <mergeCell ref="A2:G2"/>
  </mergeCells>
  <pageMargins left="0.47" right="0.3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>
      <selection activeCell="A2" sqref="A2:H2"/>
    </sheetView>
  </sheetViews>
  <sheetFormatPr defaultRowHeight="17.25" x14ac:dyDescent="0.3"/>
  <cols>
    <col min="1" max="1" width="7.85546875" style="78" customWidth="1"/>
    <col min="2" max="2" width="9.42578125" style="78" customWidth="1"/>
    <col min="3" max="3" width="26.140625" style="78" customWidth="1"/>
    <col min="4" max="4" width="12.28515625" style="78" customWidth="1"/>
    <col min="5" max="5" width="12.140625" style="78" customWidth="1"/>
    <col min="6" max="6" width="5.42578125" style="78" customWidth="1"/>
    <col min="7" max="7" width="12.140625" style="78" customWidth="1"/>
    <col min="8" max="8" width="9.140625" style="78" customWidth="1"/>
    <col min="9" max="16384" width="9.140625" style="78"/>
  </cols>
  <sheetData>
    <row r="1" spans="1:8" x14ac:dyDescent="0.3">
      <c r="A1" s="453" t="s">
        <v>209</v>
      </c>
      <c r="B1" s="453"/>
      <c r="C1" s="453"/>
      <c r="D1" s="453"/>
      <c r="E1" s="453"/>
      <c r="F1" s="453"/>
      <c r="G1" s="453"/>
      <c r="H1" s="77"/>
    </row>
    <row r="2" spans="1:8" x14ac:dyDescent="0.3">
      <c r="A2" s="453" t="s">
        <v>2663</v>
      </c>
      <c r="B2" s="453"/>
      <c r="C2" s="453"/>
      <c r="D2" s="453"/>
      <c r="E2" s="453"/>
      <c r="F2" s="453"/>
      <c r="G2" s="453"/>
      <c r="H2" s="453"/>
    </row>
    <row r="3" spans="1:8" x14ac:dyDescent="0.3">
      <c r="A3" s="77" t="s">
        <v>159</v>
      </c>
      <c r="B3" s="77"/>
      <c r="C3" s="77"/>
      <c r="D3" s="77"/>
      <c r="E3" s="77"/>
      <c r="F3" s="77"/>
      <c r="G3" s="77"/>
      <c r="H3" s="181"/>
    </row>
    <row r="4" spans="1:8" x14ac:dyDescent="0.3">
      <c r="A4" s="156" t="s">
        <v>16</v>
      </c>
      <c r="B4" s="156" t="s">
        <v>12</v>
      </c>
      <c r="C4" s="153" t="s">
        <v>4</v>
      </c>
      <c r="D4" s="82" t="s">
        <v>15</v>
      </c>
      <c r="E4" s="82" t="s">
        <v>1</v>
      </c>
      <c r="F4" s="82" t="s">
        <v>33</v>
      </c>
      <c r="G4" s="83" t="s">
        <v>2</v>
      </c>
      <c r="H4" s="81" t="s">
        <v>3</v>
      </c>
    </row>
    <row r="5" spans="1:8" x14ac:dyDescent="0.3">
      <c r="A5" s="84"/>
      <c r="B5" s="84"/>
      <c r="C5" s="85"/>
      <c r="D5" s="86" t="s">
        <v>0</v>
      </c>
      <c r="E5" s="86"/>
      <c r="F5" s="86"/>
      <c r="G5" s="87"/>
      <c r="H5" s="158"/>
    </row>
    <row r="6" spans="1:8" x14ac:dyDescent="0.3">
      <c r="A6" s="89"/>
      <c r="B6" s="90"/>
      <c r="C6" s="216" t="s">
        <v>215</v>
      </c>
      <c r="D6" s="91"/>
      <c r="E6" s="91"/>
      <c r="F6" s="91"/>
      <c r="G6" s="92"/>
      <c r="H6" s="94"/>
    </row>
    <row r="7" spans="1:8" x14ac:dyDescent="0.3">
      <c r="A7" s="89" t="s">
        <v>213</v>
      </c>
      <c r="B7" s="90" t="s">
        <v>214</v>
      </c>
      <c r="C7" s="154" t="s">
        <v>945</v>
      </c>
      <c r="D7" s="93">
        <v>3599080</v>
      </c>
      <c r="E7" s="93"/>
      <c r="F7" s="93"/>
      <c r="G7" s="92">
        <f>D7</f>
        <v>3599080</v>
      </c>
      <c r="H7" s="94"/>
    </row>
    <row r="8" spans="1:8" x14ac:dyDescent="0.3">
      <c r="A8" s="89"/>
      <c r="B8" s="90" t="s">
        <v>941</v>
      </c>
      <c r="C8" s="49" t="s">
        <v>187</v>
      </c>
      <c r="D8" s="91"/>
      <c r="E8" s="134">
        <v>3599080</v>
      </c>
      <c r="F8" s="91"/>
      <c r="G8" s="240">
        <f>G7-E8</f>
        <v>0</v>
      </c>
      <c r="H8" s="94"/>
    </row>
    <row r="9" spans="1:8" x14ac:dyDescent="0.3">
      <c r="A9" s="89"/>
      <c r="B9" s="90"/>
      <c r="C9" s="154" t="s">
        <v>216</v>
      </c>
      <c r="D9" s="93">
        <v>5411240</v>
      </c>
      <c r="E9" s="93"/>
      <c r="F9" s="93"/>
      <c r="G9" s="92">
        <f>D9</f>
        <v>5411240</v>
      </c>
      <c r="H9" s="94"/>
    </row>
    <row r="10" spans="1:8" x14ac:dyDescent="0.3">
      <c r="A10" s="175"/>
      <c r="B10" s="90" t="s">
        <v>942</v>
      </c>
      <c r="C10" s="49" t="s">
        <v>187</v>
      </c>
      <c r="D10" s="91"/>
      <c r="E10" s="134">
        <v>5411240</v>
      </c>
      <c r="F10" s="91"/>
      <c r="G10" s="240">
        <f>G9-E10</f>
        <v>0</v>
      </c>
      <c r="H10" s="94"/>
    </row>
    <row r="11" spans="1:8" x14ac:dyDescent="0.3">
      <c r="A11" s="89"/>
      <c r="B11" s="90"/>
      <c r="C11" s="154" t="s">
        <v>217</v>
      </c>
      <c r="D11" s="93">
        <v>23467450</v>
      </c>
      <c r="E11" s="93"/>
      <c r="F11" s="93"/>
      <c r="G11" s="92">
        <f>D11</f>
        <v>23467450</v>
      </c>
      <c r="H11" s="94"/>
    </row>
    <row r="12" spans="1:8" x14ac:dyDescent="0.3">
      <c r="A12" s="89"/>
      <c r="B12" s="90" t="s">
        <v>245</v>
      </c>
      <c r="C12" s="49" t="s">
        <v>187</v>
      </c>
      <c r="D12" s="91"/>
      <c r="E12" s="134">
        <v>23467450</v>
      </c>
      <c r="F12" s="91"/>
      <c r="G12" s="240">
        <f>G11-E12</f>
        <v>0</v>
      </c>
      <c r="H12" s="94"/>
    </row>
    <row r="13" spans="1:8" x14ac:dyDescent="0.3">
      <c r="A13" s="89" t="s">
        <v>901</v>
      </c>
      <c r="B13" s="90"/>
      <c r="C13" s="49" t="s">
        <v>943</v>
      </c>
      <c r="D13" s="93"/>
      <c r="E13" s="136">
        <v>-53610</v>
      </c>
      <c r="F13" s="93"/>
      <c r="G13" s="240">
        <f>G12-E13</f>
        <v>53610</v>
      </c>
      <c r="H13" s="94"/>
    </row>
    <row r="14" spans="1:8" x14ac:dyDescent="0.3">
      <c r="A14" s="89"/>
      <c r="B14" s="90"/>
      <c r="C14" s="49"/>
      <c r="D14" s="93"/>
      <c r="E14" s="136"/>
      <c r="F14" s="93"/>
      <c r="G14" s="240"/>
      <c r="H14" s="94"/>
    </row>
    <row r="15" spans="1:8" x14ac:dyDescent="0.3">
      <c r="A15" s="89" t="s">
        <v>857</v>
      </c>
      <c r="B15" s="90" t="s">
        <v>936</v>
      </c>
      <c r="C15" s="216" t="s">
        <v>935</v>
      </c>
      <c r="D15" s="93"/>
      <c r="E15" s="93"/>
      <c r="F15" s="93"/>
      <c r="G15" s="92"/>
      <c r="H15" s="94"/>
    </row>
    <row r="16" spans="1:8" x14ac:dyDescent="0.3">
      <c r="A16" s="89"/>
      <c r="B16" s="159"/>
      <c r="C16" s="154" t="s">
        <v>945</v>
      </c>
      <c r="D16" s="93">
        <v>1397940</v>
      </c>
      <c r="E16" s="93"/>
      <c r="F16" s="93"/>
      <c r="G16" s="92">
        <f>D16</f>
        <v>1397940</v>
      </c>
      <c r="H16" s="94"/>
    </row>
    <row r="17" spans="1:8" x14ac:dyDescent="0.3">
      <c r="A17" s="89"/>
      <c r="B17" s="90" t="s">
        <v>937</v>
      </c>
      <c r="C17" s="49" t="s">
        <v>940</v>
      </c>
      <c r="D17" s="91"/>
      <c r="E17" s="134">
        <v>1397940</v>
      </c>
      <c r="F17" s="91"/>
      <c r="G17" s="240">
        <f>G16-E17</f>
        <v>0</v>
      </c>
      <c r="H17" s="94"/>
    </row>
    <row r="18" spans="1:8" x14ac:dyDescent="0.3">
      <c r="A18" s="89"/>
      <c r="B18" s="90"/>
      <c r="C18" s="154" t="s">
        <v>944</v>
      </c>
      <c r="D18" s="93">
        <v>2060720</v>
      </c>
      <c r="E18" s="93"/>
      <c r="F18" s="93"/>
      <c r="G18" s="92">
        <f>D18</f>
        <v>2060720</v>
      </c>
      <c r="H18" s="94"/>
    </row>
    <row r="19" spans="1:8" x14ac:dyDescent="0.3">
      <c r="A19" s="89"/>
      <c r="B19" s="90" t="s">
        <v>938</v>
      </c>
      <c r="C19" s="49" t="s">
        <v>940</v>
      </c>
      <c r="D19" s="91"/>
      <c r="E19" s="134">
        <v>2060720</v>
      </c>
      <c r="F19" s="91"/>
      <c r="G19" s="240">
        <f>G18-E19</f>
        <v>0</v>
      </c>
      <c r="H19" s="94"/>
    </row>
    <row r="20" spans="1:8" x14ac:dyDescent="0.3">
      <c r="A20" s="89"/>
      <c r="B20" s="90"/>
      <c r="C20" s="154" t="s">
        <v>946</v>
      </c>
      <c r="D20" s="93">
        <v>8948150</v>
      </c>
      <c r="E20" s="93"/>
      <c r="F20" s="93"/>
      <c r="G20" s="92">
        <f>D20</f>
        <v>8948150</v>
      </c>
      <c r="H20" s="94"/>
    </row>
    <row r="21" spans="1:8" x14ac:dyDescent="0.3">
      <c r="A21" s="89"/>
      <c r="B21" s="90" t="s">
        <v>939</v>
      </c>
      <c r="C21" s="49" t="s">
        <v>940</v>
      </c>
      <c r="D21" s="91"/>
      <c r="E21" s="134">
        <v>8948150</v>
      </c>
      <c r="F21" s="91"/>
      <c r="G21" s="240">
        <f>G20-E21</f>
        <v>0</v>
      </c>
      <c r="H21" s="94"/>
    </row>
    <row r="22" spans="1:8" x14ac:dyDescent="0.3">
      <c r="A22" s="89"/>
      <c r="B22" s="90"/>
      <c r="C22" s="49"/>
      <c r="D22" s="93"/>
      <c r="E22" s="93"/>
      <c r="F22" s="93"/>
      <c r="G22" s="92"/>
      <c r="H22" s="94"/>
    </row>
    <row r="23" spans="1:8" x14ac:dyDescent="0.3">
      <c r="A23" s="89" t="s">
        <v>901</v>
      </c>
      <c r="B23" s="90" t="s">
        <v>931</v>
      </c>
      <c r="C23" s="49" t="s">
        <v>932</v>
      </c>
      <c r="D23" s="93">
        <v>6745000</v>
      </c>
      <c r="E23" s="93"/>
      <c r="F23" s="93"/>
      <c r="G23" s="92">
        <v>6745000</v>
      </c>
      <c r="H23" s="94"/>
    </row>
    <row r="24" spans="1:8" x14ac:dyDescent="0.3">
      <c r="A24" s="89" t="s">
        <v>928</v>
      </c>
      <c r="B24" s="90" t="s">
        <v>909</v>
      </c>
      <c r="C24" s="49" t="s">
        <v>947</v>
      </c>
      <c r="D24" s="93"/>
      <c r="E24" s="93">
        <v>6745000</v>
      </c>
      <c r="F24" s="93"/>
      <c r="G24" s="240">
        <f>G23-E24</f>
        <v>0</v>
      </c>
      <c r="H24" s="94"/>
    </row>
    <row r="25" spans="1:8" x14ac:dyDescent="0.3">
      <c r="A25" s="89" t="s">
        <v>1152</v>
      </c>
      <c r="B25" s="90"/>
      <c r="C25" s="49" t="s">
        <v>1153</v>
      </c>
      <c r="D25" s="93"/>
      <c r="E25" s="93">
        <v>-84225</v>
      </c>
      <c r="F25" s="93"/>
      <c r="G25" s="240">
        <f>G24-E25</f>
        <v>84225</v>
      </c>
      <c r="H25" s="94"/>
    </row>
    <row r="26" spans="1:8" x14ac:dyDescent="0.3">
      <c r="A26" s="89"/>
      <c r="B26" s="90"/>
      <c r="C26" s="49"/>
      <c r="D26" s="93"/>
      <c r="E26" s="93">
        <v>-1000</v>
      </c>
      <c r="F26" s="93"/>
      <c r="G26" s="240">
        <f>G25-E26</f>
        <v>85225</v>
      </c>
      <c r="H26" s="94"/>
    </row>
    <row r="27" spans="1:8" x14ac:dyDescent="0.3">
      <c r="A27" s="89" t="s">
        <v>1006</v>
      </c>
      <c r="B27" s="90" t="s">
        <v>1008</v>
      </c>
      <c r="C27" s="216" t="s">
        <v>1009</v>
      </c>
      <c r="D27" s="93"/>
      <c r="E27" s="93"/>
      <c r="F27" s="93"/>
      <c r="G27" s="92"/>
      <c r="H27" s="94"/>
    </row>
    <row r="28" spans="1:8" x14ac:dyDescent="0.3">
      <c r="A28" s="89"/>
      <c r="B28" s="159"/>
      <c r="C28" s="154" t="s">
        <v>1010</v>
      </c>
      <c r="D28" s="91">
        <v>12603515</v>
      </c>
      <c r="E28" s="91"/>
      <c r="F28" s="91"/>
      <c r="G28" s="92">
        <f>D28</f>
        <v>12603515</v>
      </c>
      <c r="H28" s="94"/>
    </row>
    <row r="29" spans="1:8" x14ac:dyDescent="0.3">
      <c r="A29" s="89"/>
      <c r="B29" s="90" t="s">
        <v>949</v>
      </c>
      <c r="C29" s="49" t="s">
        <v>940</v>
      </c>
      <c r="D29" s="91"/>
      <c r="E29" s="134">
        <f>D28</f>
        <v>12603515</v>
      </c>
      <c r="F29" s="91"/>
      <c r="G29" s="240">
        <f>G28-E29</f>
        <v>0</v>
      </c>
      <c r="H29" s="94"/>
    </row>
    <row r="30" spans="1:8" x14ac:dyDescent="0.3">
      <c r="A30" s="89"/>
      <c r="B30" s="159"/>
      <c r="C30" s="154" t="s">
        <v>945</v>
      </c>
      <c r="D30" s="91">
        <v>3616900</v>
      </c>
      <c r="E30" s="91"/>
      <c r="F30" s="91"/>
      <c r="G30" s="92">
        <f>D30</f>
        <v>3616900</v>
      </c>
      <c r="H30" s="94"/>
    </row>
    <row r="31" spans="1:8" x14ac:dyDescent="0.3">
      <c r="A31" s="89"/>
      <c r="B31" s="90" t="s">
        <v>1012</v>
      </c>
      <c r="C31" s="49" t="s">
        <v>940</v>
      </c>
      <c r="D31" s="91"/>
      <c r="E31" s="134">
        <f>D30</f>
        <v>3616900</v>
      </c>
      <c r="F31" s="91"/>
      <c r="G31" s="240">
        <f>G30-E31</f>
        <v>0</v>
      </c>
      <c r="H31" s="94"/>
    </row>
    <row r="32" spans="1:8" x14ac:dyDescent="0.3">
      <c r="A32" s="89"/>
      <c r="B32" s="159"/>
      <c r="C32" s="154" t="s">
        <v>1011</v>
      </c>
      <c r="D32" s="91">
        <v>7349350</v>
      </c>
      <c r="E32" s="91"/>
      <c r="F32" s="91"/>
      <c r="G32" s="92">
        <f>D32</f>
        <v>7349350</v>
      </c>
      <c r="H32" s="94"/>
    </row>
    <row r="33" spans="1:8" x14ac:dyDescent="0.3">
      <c r="A33" s="89"/>
      <c r="B33" s="90" t="s">
        <v>1013</v>
      </c>
      <c r="C33" s="49" t="s">
        <v>940</v>
      </c>
      <c r="D33" s="91"/>
      <c r="E33" s="134">
        <f>D32</f>
        <v>7349350</v>
      </c>
      <c r="F33" s="91"/>
      <c r="G33" s="240">
        <f>G32-E33</f>
        <v>0</v>
      </c>
      <c r="H33" s="94"/>
    </row>
    <row r="34" spans="1:8" x14ac:dyDescent="0.3">
      <c r="A34" s="89"/>
      <c r="B34" s="90"/>
      <c r="C34" s="154" t="s">
        <v>944</v>
      </c>
      <c r="D34" s="91">
        <v>5397530</v>
      </c>
      <c r="E34" s="91"/>
      <c r="F34" s="91"/>
      <c r="G34" s="92">
        <f>D34</f>
        <v>5397530</v>
      </c>
      <c r="H34" s="94"/>
    </row>
    <row r="35" spans="1:8" x14ac:dyDescent="0.3">
      <c r="A35" s="89"/>
      <c r="B35" s="90" t="s">
        <v>1014</v>
      </c>
      <c r="C35" s="49" t="s">
        <v>940</v>
      </c>
      <c r="D35" s="91"/>
      <c r="E35" s="134">
        <f>D34</f>
        <v>5397530</v>
      </c>
      <c r="F35" s="91"/>
      <c r="G35" s="240">
        <f>G34-E35</f>
        <v>0</v>
      </c>
      <c r="H35" s="94"/>
    </row>
    <row r="36" spans="1:8" x14ac:dyDescent="0.3">
      <c r="A36" s="89"/>
      <c r="B36" s="90"/>
      <c r="C36" s="154" t="s">
        <v>946</v>
      </c>
      <c r="D36" s="91">
        <v>23529150</v>
      </c>
      <c r="E36" s="91"/>
      <c r="F36" s="91"/>
      <c r="G36" s="92">
        <f>D36</f>
        <v>23529150</v>
      </c>
      <c r="H36" s="94"/>
    </row>
    <row r="37" spans="1:8" x14ac:dyDescent="0.3">
      <c r="A37" s="89"/>
      <c r="B37" s="90" t="s">
        <v>1015</v>
      </c>
      <c r="C37" s="49" t="s">
        <v>940</v>
      </c>
      <c r="D37" s="91"/>
      <c r="E37" s="134">
        <f>D36</f>
        <v>23529150</v>
      </c>
      <c r="F37" s="91"/>
      <c r="G37" s="240">
        <f>G36-E37</f>
        <v>0</v>
      </c>
      <c r="H37" s="94"/>
    </row>
    <row r="38" spans="1:8" x14ac:dyDescent="0.3">
      <c r="A38" s="89"/>
      <c r="B38" s="90"/>
      <c r="C38" s="49"/>
      <c r="D38" s="91"/>
      <c r="E38" s="134"/>
      <c r="F38" s="91"/>
      <c r="G38" s="240"/>
      <c r="H38" s="94"/>
    </row>
    <row r="39" spans="1:8" x14ac:dyDescent="0.3">
      <c r="A39" s="89" t="s">
        <v>1925</v>
      </c>
      <c r="B39" s="90" t="s">
        <v>1926</v>
      </c>
      <c r="C39" s="216" t="s">
        <v>1927</v>
      </c>
      <c r="D39" s="91"/>
      <c r="E39" s="134"/>
      <c r="F39" s="91"/>
      <c r="G39" s="240"/>
      <c r="H39" s="94"/>
    </row>
    <row r="40" spans="1:8" x14ac:dyDescent="0.3">
      <c r="A40" s="89"/>
      <c r="B40" s="159"/>
      <c r="C40" s="154" t="s">
        <v>1010</v>
      </c>
      <c r="D40" s="134">
        <v>4680608</v>
      </c>
      <c r="E40" s="91"/>
      <c r="F40" s="91"/>
      <c r="G40" s="134">
        <v>4680608</v>
      </c>
      <c r="H40" s="94"/>
    </row>
    <row r="41" spans="1:8" ht="18.75" x14ac:dyDescent="0.3">
      <c r="A41" s="89"/>
      <c r="B41" s="90" t="s">
        <v>1928</v>
      </c>
      <c r="C41" s="49" t="s">
        <v>940</v>
      </c>
      <c r="D41" s="134"/>
      <c r="E41" s="134">
        <f>D40</f>
        <v>4680608</v>
      </c>
      <c r="F41" s="91"/>
      <c r="G41" s="110">
        <f>G40-E41</f>
        <v>0</v>
      </c>
      <c r="H41" s="94"/>
    </row>
    <row r="42" spans="1:8" ht="18.75" x14ac:dyDescent="0.3">
      <c r="A42" s="89"/>
      <c r="B42" s="159"/>
      <c r="C42" s="154" t="s">
        <v>945</v>
      </c>
      <c r="D42" s="134">
        <v>1344740</v>
      </c>
      <c r="E42" s="91"/>
      <c r="F42" s="91"/>
      <c r="G42" s="110">
        <v>1344740</v>
      </c>
      <c r="H42" s="94"/>
    </row>
    <row r="43" spans="1:8" ht="18.75" x14ac:dyDescent="0.3">
      <c r="A43" s="89"/>
      <c r="B43" s="90" t="s">
        <v>1929</v>
      </c>
      <c r="C43" s="49" t="s">
        <v>940</v>
      </c>
      <c r="D43" s="134"/>
      <c r="E43" s="134">
        <f>D42</f>
        <v>1344740</v>
      </c>
      <c r="F43" s="91"/>
      <c r="G43" s="110">
        <f>G42-E43</f>
        <v>0</v>
      </c>
      <c r="H43" s="94"/>
    </row>
    <row r="44" spans="1:8" ht="18.75" x14ac:dyDescent="0.3">
      <c r="A44" s="89"/>
      <c r="B44" s="159"/>
      <c r="C44" s="154" t="s">
        <v>1011</v>
      </c>
      <c r="D44" s="134">
        <v>2736490</v>
      </c>
      <c r="E44" s="91"/>
      <c r="F44" s="91"/>
      <c r="G44" s="110">
        <v>2736490</v>
      </c>
      <c r="H44" s="94"/>
    </row>
    <row r="45" spans="1:8" ht="18.75" x14ac:dyDescent="0.3">
      <c r="A45" s="89"/>
      <c r="B45" s="90" t="s">
        <v>1930</v>
      </c>
      <c r="C45" s="49" t="s">
        <v>940</v>
      </c>
      <c r="D45" s="134"/>
      <c r="E45" s="134">
        <f>D44</f>
        <v>2736490</v>
      </c>
      <c r="F45" s="91"/>
      <c r="G45" s="110">
        <f>G44-E45</f>
        <v>0</v>
      </c>
      <c r="H45" s="94"/>
    </row>
    <row r="46" spans="1:8" ht="18.75" x14ac:dyDescent="0.3">
      <c r="A46" s="89"/>
      <c r="B46" s="90"/>
      <c r="C46" s="154" t="s">
        <v>944</v>
      </c>
      <c r="D46" s="134">
        <v>2017855</v>
      </c>
      <c r="E46" s="91"/>
      <c r="F46" s="91"/>
      <c r="G46" s="110">
        <v>2017855</v>
      </c>
      <c r="H46" s="94"/>
    </row>
    <row r="47" spans="1:8" ht="18.75" x14ac:dyDescent="0.3">
      <c r="A47" s="89"/>
      <c r="B47" s="90" t="s">
        <v>1931</v>
      </c>
      <c r="C47" s="49" t="s">
        <v>940</v>
      </c>
      <c r="D47" s="134"/>
      <c r="E47" s="134">
        <f>D46</f>
        <v>2017855</v>
      </c>
      <c r="F47" s="91"/>
      <c r="G47" s="110">
        <f>G46-E47</f>
        <v>0</v>
      </c>
      <c r="H47" s="94"/>
    </row>
    <row r="48" spans="1:8" ht="18.75" x14ac:dyDescent="0.3">
      <c r="A48" s="89"/>
      <c r="B48" s="90"/>
      <c r="C48" s="340" t="s">
        <v>946</v>
      </c>
      <c r="D48" s="136">
        <v>8818400</v>
      </c>
      <c r="E48" s="93"/>
      <c r="F48" s="141"/>
      <c r="G48" s="283">
        <v>8818400</v>
      </c>
      <c r="H48" s="96"/>
    </row>
    <row r="49" spans="1:8" ht="18.75" x14ac:dyDescent="0.3">
      <c r="A49" s="89"/>
      <c r="B49" s="90" t="s">
        <v>1932</v>
      </c>
      <c r="C49" s="94" t="s">
        <v>940</v>
      </c>
      <c r="D49" s="91"/>
      <c r="E49" s="134">
        <f>D48</f>
        <v>8818400</v>
      </c>
      <c r="F49" s="343">
        <f>SUM(F6:F47)</f>
        <v>0</v>
      </c>
      <c r="G49" s="301">
        <f>G48-E49</f>
        <v>0</v>
      </c>
      <c r="H49" s="94"/>
    </row>
    <row r="50" spans="1:8" ht="18.75" x14ac:dyDescent="0.3">
      <c r="A50" s="89"/>
      <c r="B50" s="90"/>
      <c r="C50" s="94"/>
      <c r="D50" s="91"/>
      <c r="E50" s="134"/>
      <c r="F50" s="343"/>
      <c r="G50" s="301"/>
      <c r="H50" s="94"/>
    </row>
    <row r="51" spans="1:8" ht="18.75" x14ac:dyDescent="0.3">
      <c r="A51" s="89" t="s">
        <v>2799</v>
      </c>
      <c r="B51" s="90" t="s">
        <v>2930</v>
      </c>
      <c r="C51" s="74" t="s">
        <v>2931</v>
      </c>
      <c r="D51" s="134">
        <v>6834500</v>
      </c>
      <c r="E51" s="134"/>
      <c r="F51" s="343"/>
      <c r="G51" s="262">
        <f>D51</f>
        <v>6834500</v>
      </c>
      <c r="H51" s="94"/>
    </row>
    <row r="52" spans="1:8" ht="18.75" x14ac:dyDescent="0.3">
      <c r="A52" s="89"/>
      <c r="B52" s="90" t="s">
        <v>2942</v>
      </c>
      <c r="C52" s="94" t="s">
        <v>2932</v>
      </c>
      <c r="D52" s="91"/>
      <c r="E52" s="134">
        <f>G51</f>
        <v>6834500</v>
      </c>
      <c r="F52" s="343"/>
      <c r="G52" s="301">
        <f>G51-E52</f>
        <v>0</v>
      </c>
      <c r="H52" s="94"/>
    </row>
    <row r="53" spans="1:8" ht="18.75" x14ac:dyDescent="0.3">
      <c r="A53" s="89"/>
      <c r="B53" s="90"/>
      <c r="C53" s="94"/>
      <c r="D53" s="91"/>
      <c r="E53" s="134"/>
      <c r="F53" s="343"/>
      <c r="G53" s="301"/>
      <c r="H53" s="94"/>
    </row>
    <row r="54" spans="1:8" ht="18.75" x14ac:dyDescent="0.3">
      <c r="A54" s="89" t="s">
        <v>2799</v>
      </c>
      <c r="B54" s="90" t="s">
        <v>2933</v>
      </c>
      <c r="C54" s="74" t="s">
        <v>1394</v>
      </c>
      <c r="D54" s="134">
        <v>1125775</v>
      </c>
      <c r="E54" s="134"/>
      <c r="F54" s="343"/>
      <c r="G54" s="262">
        <f>D54</f>
        <v>1125775</v>
      </c>
      <c r="H54" s="94"/>
    </row>
    <row r="55" spans="1:8" ht="18.75" x14ac:dyDescent="0.3">
      <c r="A55" s="89"/>
      <c r="B55" s="90" t="s">
        <v>2943</v>
      </c>
      <c r="C55" s="94" t="s">
        <v>2934</v>
      </c>
      <c r="D55" s="91"/>
      <c r="E55" s="134">
        <f>D54</f>
        <v>1125775</v>
      </c>
      <c r="F55" s="343"/>
      <c r="G55" s="301">
        <f>G54-E55</f>
        <v>0</v>
      </c>
      <c r="H55" s="94"/>
    </row>
    <row r="56" spans="1:8" ht="18.75" x14ac:dyDescent="0.3">
      <c r="A56" s="89"/>
      <c r="B56" s="90"/>
      <c r="C56" s="94"/>
      <c r="D56" s="91"/>
      <c r="E56" s="134"/>
      <c r="F56" s="343"/>
      <c r="G56" s="301"/>
      <c r="H56" s="94"/>
    </row>
    <row r="57" spans="1:8" ht="18.75" x14ac:dyDescent="0.3">
      <c r="A57" s="89" t="s">
        <v>2799</v>
      </c>
      <c r="B57" s="90" t="s">
        <v>2933</v>
      </c>
      <c r="C57" s="74" t="s">
        <v>2935</v>
      </c>
      <c r="D57" s="91">
        <v>5098</v>
      </c>
      <c r="E57" s="134"/>
      <c r="F57" s="343"/>
      <c r="G57" s="301">
        <v>5098</v>
      </c>
      <c r="H57" s="94"/>
    </row>
    <row r="58" spans="1:8" ht="18.75" x14ac:dyDescent="0.3">
      <c r="A58" s="89"/>
      <c r="B58" s="90"/>
      <c r="C58" s="231" t="s">
        <v>2936</v>
      </c>
      <c r="D58" s="91"/>
      <c r="E58" s="134"/>
      <c r="F58" s="343"/>
      <c r="G58" s="301"/>
      <c r="H58" s="94"/>
    </row>
    <row r="59" spans="1:8" ht="18.75" x14ac:dyDescent="0.3">
      <c r="A59" s="89"/>
      <c r="B59" s="90" t="s">
        <v>2941</v>
      </c>
      <c r="C59" s="94" t="s">
        <v>2937</v>
      </c>
      <c r="D59" s="91"/>
      <c r="E59" s="134">
        <v>622</v>
      </c>
      <c r="F59" s="343"/>
      <c r="G59" s="301"/>
      <c r="H59" s="94"/>
    </row>
    <row r="60" spans="1:8" ht="18.75" x14ac:dyDescent="0.3">
      <c r="A60" s="89"/>
      <c r="B60" s="90"/>
      <c r="C60" s="94" t="s">
        <v>2938</v>
      </c>
      <c r="D60" s="91"/>
      <c r="E60" s="134">
        <v>195</v>
      </c>
      <c r="F60" s="343"/>
      <c r="G60" s="301"/>
      <c r="H60" s="94"/>
    </row>
    <row r="61" spans="1:8" ht="18.75" x14ac:dyDescent="0.3">
      <c r="A61" s="89"/>
      <c r="B61" s="90"/>
      <c r="C61" s="94" t="s">
        <v>2939</v>
      </c>
      <c r="D61" s="91"/>
      <c r="E61" s="134">
        <v>360</v>
      </c>
      <c r="F61" s="343"/>
      <c r="G61" s="301"/>
      <c r="H61" s="94"/>
    </row>
    <row r="62" spans="1:8" ht="18.75" x14ac:dyDescent="0.3">
      <c r="A62" s="89"/>
      <c r="B62" s="90"/>
      <c r="C62" s="94" t="s">
        <v>2940</v>
      </c>
      <c r="D62" s="91"/>
      <c r="E62" s="134">
        <v>240</v>
      </c>
      <c r="F62" s="343"/>
      <c r="G62" s="301"/>
      <c r="H62" s="94"/>
    </row>
    <row r="63" spans="1:8" ht="18.75" x14ac:dyDescent="0.3">
      <c r="A63" s="89"/>
      <c r="B63" s="90"/>
      <c r="C63" s="94" t="s">
        <v>217</v>
      </c>
      <c r="D63" s="91"/>
      <c r="E63" s="134">
        <v>3681</v>
      </c>
      <c r="F63" s="343"/>
      <c r="G63" s="301">
        <f>G57-E59-E60-E61-E62-E63</f>
        <v>0</v>
      </c>
      <c r="H63" s="94"/>
    </row>
    <row r="64" spans="1:8" x14ac:dyDescent="0.3">
      <c r="A64" s="89"/>
      <c r="B64" s="90"/>
      <c r="C64" s="280"/>
      <c r="D64" s="341"/>
      <c r="E64" s="342"/>
      <c r="F64" s="338"/>
      <c r="G64" s="339"/>
      <c r="H64" s="150"/>
    </row>
    <row r="65" spans="1:8" ht="19.5" thickBot="1" x14ac:dyDescent="0.35">
      <c r="A65" s="108"/>
      <c r="B65" s="143"/>
      <c r="C65" s="220" t="s">
        <v>107</v>
      </c>
      <c r="D65" s="170">
        <f>SUM(D7:D64)</f>
        <v>131689491</v>
      </c>
      <c r="E65" s="170">
        <f>SUM(E7:E64)</f>
        <v>131550656</v>
      </c>
      <c r="F65" s="170">
        <f>SUM(F16:F64)</f>
        <v>0</v>
      </c>
      <c r="G65" s="161">
        <f>D65-E65-F65</f>
        <v>138835</v>
      </c>
      <c r="H65" s="94"/>
    </row>
    <row r="66" spans="1:8" ht="18" thickTop="1" x14ac:dyDescent="0.3"/>
    <row r="70" spans="1:8" x14ac:dyDescent="0.3">
      <c r="D70" s="176"/>
    </row>
  </sheetData>
  <mergeCells count="2">
    <mergeCell ref="A1:G1"/>
    <mergeCell ref="A2:H2"/>
  </mergeCells>
  <pageMargins left="0.52" right="0.21" top="0.34" bottom="0.48" header="0.28000000000000003" footer="0.3"/>
  <pageSetup paperSize="9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D8" sqref="D8"/>
    </sheetView>
  </sheetViews>
  <sheetFormatPr defaultRowHeight="17.25" x14ac:dyDescent="0.3"/>
  <cols>
    <col min="1" max="1" width="7.85546875" style="78" customWidth="1"/>
    <col min="2" max="2" width="10.42578125" style="78" customWidth="1"/>
    <col min="3" max="3" width="25" style="78" customWidth="1"/>
    <col min="4" max="4" width="12.28515625" style="78" customWidth="1"/>
    <col min="5" max="5" width="12.140625" style="78" customWidth="1"/>
    <col min="6" max="6" width="5.140625" style="78" customWidth="1"/>
    <col min="7" max="7" width="12.7109375" style="78" customWidth="1"/>
    <col min="8" max="8" width="9.140625" style="78" customWidth="1"/>
    <col min="9" max="10" width="9.140625" style="78"/>
    <col min="11" max="11" width="12.85546875" style="78" customWidth="1"/>
    <col min="12" max="16384" width="9.140625" style="78"/>
  </cols>
  <sheetData>
    <row r="1" spans="1:8" x14ac:dyDescent="0.3">
      <c r="A1" s="453" t="s">
        <v>209</v>
      </c>
      <c r="B1" s="453"/>
      <c r="C1" s="453"/>
      <c r="D1" s="453"/>
      <c r="E1" s="453"/>
      <c r="F1" s="453"/>
      <c r="G1" s="453"/>
      <c r="H1" s="77"/>
    </row>
    <row r="2" spans="1:8" x14ac:dyDescent="0.3">
      <c r="A2" s="453" t="s">
        <v>2926</v>
      </c>
      <c r="B2" s="453"/>
      <c r="C2" s="453"/>
      <c r="D2" s="453"/>
      <c r="E2" s="453"/>
      <c r="F2" s="453"/>
      <c r="G2" s="453"/>
      <c r="H2" s="453"/>
    </row>
    <row r="3" spans="1:8" x14ac:dyDescent="0.3">
      <c r="A3" s="77" t="s">
        <v>159</v>
      </c>
      <c r="B3" s="77"/>
      <c r="C3" s="77"/>
      <c r="D3" s="77"/>
      <c r="E3" s="77"/>
      <c r="F3" s="77"/>
      <c r="G3" s="77"/>
      <c r="H3" s="181"/>
    </row>
    <row r="4" spans="1:8" x14ac:dyDescent="0.3">
      <c r="A4" s="156" t="s">
        <v>16</v>
      </c>
      <c r="B4" s="156" t="s">
        <v>12</v>
      </c>
      <c r="C4" s="153" t="s">
        <v>4</v>
      </c>
      <c r="D4" s="82" t="s">
        <v>15</v>
      </c>
      <c r="E4" s="82" t="s">
        <v>1</v>
      </c>
      <c r="F4" s="82" t="s">
        <v>33</v>
      </c>
      <c r="G4" s="83" t="s">
        <v>2</v>
      </c>
      <c r="H4" s="81" t="s">
        <v>3</v>
      </c>
    </row>
    <row r="5" spans="1:8" x14ac:dyDescent="0.3">
      <c r="A5" s="84"/>
      <c r="B5" s="84"/>
      <c r="C5" s="85"/>
      <c r="D5" s="86" t="s">
        <v>0</v>
      </c>
      <c r="E5" s="86"/>
      <c r="F5" s="86"/>
      <c r="G5" s="87"/>
      <c r="H5" s="158"/>
    </row>
    <row r="6" spans="1:8" x14ac:dyDescent="0.3">
      <c r="A6" s="89"/>
      <c r="B6" s="90"/>
      <c r="C6" s="49"/>
      <c r="D6" s="93"/>
      <c r="E6" s="136"/>
      <c r="F6" s="93"/>
      <c r="G6" s="240"/>
      <c r="H6" s="94"/>
    </row>
    <row r="7" spans="1:8" x14ac:dyDescent="0.3">
      <c r="A7" s="89" t="s">
        <v>1392</v>
      </c>
      <c r="B7" s="90" t="s">
        <v>1393</v>
      </c>
      <c r="C7" s="49" t="s">
        <v>2832</v>
      </c>
      <c r="D7" s="93">
        <v>2151000</v>
      </c>
      <c r="E7" s="136"/>
      <c r="F7" s="93"/>
      <c r="G7" s="240">
        <f>D7</f>
        <v>2151000</v>
      </c>
      <c r="H7" s="94"/>
    </row>
    <row r="8" spans="1:8" x14ac:dyDescent="0.3">
      <c r="A8" s="89"/>
      <c r="B8" s="90" t="s">
        <v>2834</v>
      </c>
      <c r="C8" s="49" t="s">
        <v>2833</v>
      </c>
      <c r="D8" s="93"/>
      <c r="E8" s="148">
        <v>174410</v>
      </c>
      <c r="F8" s="93"/>
      <c r="G8" s="240">
        <f>G7-E8</f>
        <v>1976590</v>
      </c>
      <c r="H8" s="94"/>
    </row>
    <row r="9" spans="1:8" x14ac:dyDescent="0.3">
      <c r="A9" s="89" t="s">
        <v>2836</v>
      </c>
      <c r="B9" s="90" t="s">
        <v>2835</v>
      </c>
      <c r="C9" s="49" t="s">
        <v>2837</v>
      </c>
      <c r="D9" s="93"/>
      <c r="E9" s="148">
        <v>696762.61</v>
      </c>
      <c r="F9" s="93"/>
      <c r="G9" s="240">
        <f t="shared" ref="G9:G14" si="0">G8-E9</f>
        <v>1279827.3900000001</v>
      </c>
      <c r="H9" s="94"/>
    </row>
    <row r="10" spans="1:8" x14ac:dyDescent="0.3">
      <c r="A10" s="89" t="s">
        <v>2867</v>
      </c>
      <c r="B10" s="90" t="s">
        <v>2866</v>
      </c>
      <c r="C10" s="49" t="s">
        <v>2865</v>
      </c>
      <c r="D10" s="93"/>
      <c r="E10" s="148">
        <v>242560.59</v>
      </c>
      <c r="F10" s="93"/>
      <c r="G10" s="240">
        <f t="shared" si="0"/>
        <v>1037266.8000000002</v>
      </c>
      <c r="H10" s="94"/>
    </row>
    <row r="11" spans="1:8" x14ac:dyDescent="0.3">
      <c r="A11" s="89"/>
      <c r="B11" s="90" t="s">
        <v>2882</v>
      </c>
      <c r="C11" s="49" t="s">
        <v>2881</v>
      </c>
      <c r="D11" s="93"/>
      <c r="E11" s="148">
        <v>90566.88</v>
      </c>
      <c r="F11" s="93"/>
      <c r="G11" s="240">
        <f t="shared" si="0"/>
        <v>946699.92000000016</v>
      </c>
      <c r="H11" s="94"/>
    </row>
    <row r="12" spans="1:8" x14ac:dyDescent="0.3">
      <c r="A12" s="89"/>
      <c r="B12" s="90" t="s">
        <v>2887</v>
      </c>
      <c r="C12" s="49" t="s">
        <v>2888</v>
      </c>
      <c r="D12" s="93"/>
      <c r="E12" s="148">
        <v>16901</v>
      </c>
      <c r="F12" s="93"/>
      <c r="G12" s="240">
        <f t="shared" si="0"/>
        <v>929798.92000000016</v>
      </c>
      <c r="H12" s="94"/>
    </row>
    <row r="13" spans="1:8" x14ac:dyDescent="0.3">
      <c r="A13" s="89"/>
      <c r="B13" s="90" t="s">
        <v>2908</v>
      </c>
      <c r="C13" s="49" t="s">
        <v>2906</v>
      </c>
      <c r="D13" s="93"/>
      <c r="E13" s="148">
        <v>7768.2</v>
      </c>
      <c r="F13" s="93"/>
      <c r="G13" s="240">
        <f t="shared" si="0"/>
        <v>922030.7200000002</v>
      </c>
      <c r="H13" s="94"/>
    </row>
    <row r="14" spans="1:8" x14ac:dyDescent="0.3">
      <c r="A14" s="89"/>
      <c r="B14" s="90" t="s">
        <v>2909</v>
      </c>
      <c r="C14" s="49" t="s">
        <v>2907</v>
      </c>
      <c r="D14" s="93"/>
      <c r="E14" s="148">
        <v>34753.599999999999</v>
      </c>
      <c r="F14" s="93"/>
      <c r="G14" s="240">
        <f t="shared" si="0"/>
        <v>887277.12000000023</v>
      </c>
      <c r="H14" s="94"/>
    </row>
    <row r="15" spans="1:8" x14ac:dyDescent="0.3">
      <c r="A15" s="89"/>
      <c r="B15" s="90"/>
      <c r="C15" s="49"/>
      <c r="D15" s="93"/>
      <c r="E15" s="148"/>
      <c r="F15" s="93"/>
      <c r="G15" s="240"/>
      <c r="H15" s="94"/>
    </row>
    <row r="16" spans="1:8" x14ac:dyDescent="0.3">
      <c r="A16" s="89"/>
      <c r="B16" s="90"/>
      <c r="C16" s="49"/>
      <c r="D16" s="93"/>
      <c r="E16" s="148"/>
      <c r="F16" s="93"/>
      <c r="G16" s="240"/>
      <c r="H16" s="94"/>
    </row>
    <row r="17" spans="1:8" x14ac:dyDescent="0.3">
      <c r="A17" s="89"/>
      <c r="B17" s="90"/>
      <c r="C17" s="49"/>
      <c r="D17" s="93"/>
      <c r="E17" s="148"/>
      <c r="F17" s="93"/>
      <c r="G17" s="240"/>
      <c r="H17" s="94"/>
    </row>
    <row r="18" spans="1:8" x14ac:dyDescent="0.3">
      <c r="A18" s="89"/>
      <c r="B18" s="90"/>
      <c r="C18" s="49"/>
      <c r="D18" s="93"/>
      <c r="E18" s="148"/>
      <c r="F18" s="93"/>
      <c r="G18" s="240"/>
      <c r="H18" s="94"/>
    </row>
    <row r="19" spans="1:8" x14ac:dyDescent="0.3">
      <c r="A19" s="89"/>
      <c r="B19" s="97"/>
      <c r="C19" s="76"/>
      <c r="D19" s="141"/>
      <c r="E19" s="350"/>
      <c r="F19" s="141"/>
      <c r="G19" s="142"/>
      <c r="H19" s="94"/>
    </row>
    <row r="20" spans="1:8" ht="18" thickBot="1" x14ac:dyDescent="0.35">
      <c r="A20" s="89"/>
      <c r="B20" s="143"/>
      <c r="C20" s="131" t="s">
        <v>40</v>
      </c>
      <c r="D20" s="170">
        <f>SUM(D6:D18)</f>
        <v>2151000</v>
      </c>
      <c r="E20" s="258">
        <f>SUM(E6:E18)</f>
        <v>1263722.8800000001</v>
      </c>
      <c r="F20" s="144">
        <f>SUM(F6:F18)</f>
        <v>0</v>
      </c>
      <c r="G20" s="161">
        <f>D20-E20</f>
        <v>887277.11999999988</v>
      </c>
      <c r="H20" s="163"/>
    </row>
    <row r="21" spans="1:8" ht="18" thickTop="1" x14ac:dyDescent="0.3"/>
    <row r="26" spans="1:8" x14ac:dyDescent="0.3">
      <c r="D26" s="176"/>
    </row>
  </sheetData>
  <mergeCells count="2">
    <mergeCell ref="A1:G1"/>
    <mergeCell ref="A2:H2"/>
  </mergeCells>
  <pageMargins left="0.6" right="0.21" top="0.34" bottom="0.48" header="0.28000000000000003" footer="0.3"/>
  <pageSetup paperSize="9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selection activeCell="J19" sqref="J19"/>
    </sheetView>
  </sheetViews>
  <sheetFormatPr defaultRowHeight="17.25" x14ac:dyDescent="0.3"/>
  <cols>
    <col min="1" max="1" width="7.85546875" style="78" customWidth="1"/>
    <col min="2" max="2" width="10.42578125" style="78" customWidth="1"/>
    <col min="3" max="3" width="25" style="78" customWidth="1"/>
    <col min="4" max="4" width="12.28515625" style="78" customWidth="1"/>
    <col min="5" max="5" width="12.140625" style="78" customWidth="1"/>
    <col min="6" max="6" width="5.140625" style="78" customWidth="1"/>
    <col min="7" max="7" width="12.140625" style="78" customWidth="1"/>
    <col min="8" max="8" width="9.140625" style="78" customWidth="1"/>
    <col min="9" max="10" width="9.140625" style="78"/>
    <col min="11" max="11" width="12.85546875" style="78" customWidth="1"/>
    <col min="12" max="16384" width="9.140625" style="78"/>
  </cols>
  <sheetData>
    <row r="1" spans="1:8" x14ac:dyDescent="0.3">
      <c r="A1" s="453" t="s">
        <v>209</v>
      </c>
      <c r="B1" s="453"/>
      <c r="C1" s="453"/>
      <c r="D1" s="453"/>
      <c r="E1" s="453"/>
      <c r="F1" s="453"/>
      <c r="G1" s="453"/>
      <c r="H1" s="77"/>
    </row>
    <row r="2" spans="1:8" x14ac:dyDescent="0.3">
      <c r="A2" s="453" t="s">
        <v>1322</v>
      </c>
      <c r="B2" s="453"/>
      <c r="C2" s="453"/>
      <c r="D2" s="453"/>
      <c r="E2" s="453"/>
      <c r="F2" s="453"/>
      <c r="G2" s="453"/>
      <c r="H2" s="453"/>
    </row>
    <row r="3" spans="1:8" x14ac:dyDescent="0.3">
      <c r="A3" s="77" t="s">
        <v>159</v>
      </c>
      <c r="B3" s="77"/>
      <c r="C3" s="77"/>
      <c r="D3" s="77"/>
      <c r="E3" s="77"/>
      <c r="F3" s="77"/>
      <c r="G3" s="77"/>
      <c r="H3" s="181"/>
    </row>
    <row r="4" spans="1:8" x14ac:dyDescent="0.3">
      <c r="A4" s="156" t="s">
        <v>16</v>
      </c>
      <c r="B4" s="156" t="s">
        <v>12</v>
      </c>
      <c r="C4" s="153" t="s">
        <v>4</v>
      </c>
      <c r="D4" s="82" t="s">
        <v>15</v>
      </c>
      <c r="E4" s="82" t="s">
        <v>1</v>
      </c>
      <c r="F4" s="82" t="s">
        <v>33</v>
      </c>
      <c r="G4" s="83" t="s">
        <v>2</v>
      </c>
      <c r="H4" s="81" t="s">
        <v>3</v>
      </c>
    </row>
    <row r="5" spans="1:8" x14ac:dyDescent="0.3">
      <c r="A5" s="84"/>
      <c r="B5" s="84"/>
      <c r="C5" s="85"/>
      <c r="D5" s="86" t="s">
        <v>0</v>
      </c>
      <c r="E5" s="86"/>
      <c r="F5" s="86"/>
      <c r="G5" s="87"/>
      <c r="H5" s="158"/>
    </row>
    <row r="6" spans="1:8" x14ac:dyDescent="0.3">
      <c r="A6" s="89"/>
      <c r="B6" s="90"/>
      <c r="C6" s="49"/>
      <c r="D6" s="93"/>
      <c r="E6" s="136"/>
      <c r="F6" s="93"/>
      <c r="G6" s="240"/>
      <c r="H6" s="94"/>
    </row>
    <row r="7" spans="1:8" x14ac:dyDescent="0.3">
      <c r="A7" s="89" t="s">
        <v>1392</v>
      </c>
      <c r="B7" s="90" t="s">
        <v>1393</v>
      </c>
      <c r="C7" s="49" t="s">
        <v>1394</v>
      </c>
      <c r="D7" s="93">
        <v>1698200</v>
      </c>
      <c r="E7" s="136"/>
      <c r="F7" s="93"/>
      <c r="G7" s="240">
        <v>1698200</v>
      </c>
      <c r="H7" s="94"/>
    </row>
    <row r="8" spans="1:8" x14ac:dyDescent="0.3">
      <c r="A8" s="89"/>
      <c r="B8" s="90" t="s">
        <v>1396</v>
      </c>
      <c r="C8" s="49" t="s">
        <v>1395</v>
      </c>
      <c r="D8" s="93"/>
      <c r="E8" s="136">
        <v>1698200</v>
      </c>
      <c r="F8" s="93"/>
      <c r="G8" s="240">
        <f>G7-E8</f>
        <v>0</v>
      </c>
      <c r="H8" s="94"/>
    </row>
    <row r="9" spans="1:8" x14ac:dyDescent="0.3">
      <c r="A9" s="89"/>
      <c r="B9" s="90"/>
      <c r="C9" s="49"/>
      <c r="D9" s="93"/>
      <c r="E9" s="136"/>
      <c r="F9" s="93"/>
      <c r="G9" s="240"/>
      <c r="H9" s="94"/>
    </row>
    <row r="10" spans="1:8" x14ac:dyDescent="0.3">
      <c r="A10" s="89"/>
      <c r="B10" s="90"/>
      <c r="C10" s="49"/>
      <c r="D10" s="93"/>
      <c r="E10" s="136"/>
      <c r="F10" s="93"/>
      <c r="G10" s="240"/>
      <c r="H10" s="94"/>
    </row>
    <row r="11" spans="1:8" x14ac:dyDescent="0.3">
      <c r="A11" s="89"/>
      <c r="B11" s="90"/>
      <c r="C11" s="49"/>
      <c r="D11" s="93"/>
      <c r="E11" s="136"/>
      <c r="F11" s="93"/>
      <c r="G11" s="240"/>
      <c r="H11" s="94"/>
    </row>
    <row r="12" spans="1:8" x14ac:dyDescent="0.3">
      <c r="A12" s="89"/>
      <c r="B12" s="90"/>
      <c r="C12" s="49"/>
      <c r="D12" s="93"/>
      <c r="E12" s="136"/>
      <c r="F12" s="93"/>
      <c r="G12" s="240"/>
      <c r="H12" s="94"/>
    </row>
    <row r="13" spans="1:8" x14ac:dyDescent="0.3">
      <c r="A13" s="89"/>
      <c r="B13" s="90"/>
      <c r="C13" s="49"/>
      <c r="D13" s="93"/>
      <c r="E13" s="136"/>
      <c r="F13" s="93"/>
      <c r="G13" s="240"/>
      <c r="H13" s="94"/>
    </row>
    <row r="14" spans="1:8" x14ac:dyDescent="0.3">
      <c r="A14" s="89"/>
      <c r="B14" s="90"/>
      <c r="C14" s="49"/>
      <c r="D14" s="93"/>
      <c r="E14" s="136"/>
      <c r="F14" s="93"/>
      <c r="G14" s="240"/>
      <c r="H14" s="94"/>
    </row>
    <row r="15" spans="1:8" x14ac:dyDescent="0.3">
      <c r="A15" s="89"/>
      <c r="B15" s="90"/>
      <c r="C15" s="49"/>
      <c r="D15" s="93"/>
      <c r="E15" s="136"/>
      <c r="F15" s="93"/>
      <c r="G15" s="240"/>
      <c r="H15" s="94"/>
    </row>
    <row r="16" spans="1:8" x14ac:dyDescent="0.3">
      <c r="A16" s="89"/>
      <c r="B16" s="90"/>
      <c r="C16" s="49"/>
      <c r="D16" s="93"/>
      <c r="E16" s="136"/>
      <c r="F16" s="93"/>
      <c r="G16" s="240"/>
      <c r="H16" s="94"/>
    </row>
    <row r="17" spans="1:8" x14ac:dyDescent="0.3">
      <c r="A17" s="89"/>
      <c r="B17" s="90"/>
      <c r="C17" s="49"/>
      <c r="D17" s="93"/>
      <c r="E17" s="136"/>
      <c r="F17" s="93"/>
      <c r="G17" s="240"/>
      <c r="H17" s="94"/>
    </row>
    <row r="18" spans="1:8" x14ac:dyDescent="0.3">
      <c r="A18" s="89"/>
      <c r="B18" s="90"/>
      <c r="C18" s="49"/>
      <c r="D18" s="93"/>
      <c r="E18" s="93"/>
      <c r="F18" s="93"/>
      <c r="G18" s="240"/>
      <c r="H18" s="94"/>
    </row>
    <row r="19" spans="1:8" x14ac:dyDescent="0.3">
      <c r="A19" s="89"/>
      <c r="B19" s="97"/>
      <c r="C19" s="76"/>
      <c r="D19" s="141"/>
      <c r="E19" s="141"/>
      <c r="F19" s="141"/>
      <c r="G19" s="142"/>
      <c r="H19" s="94"/>
    </row>
    <row r="20" spans="1:8" ht="18" thickBot="1" x14ac:dyDescent="0.35">
      <c r="A20" s="89"/>
      <c r="B20" s="143"/>
      <c r="C20" s="131" t="s">
        <v>40</v>
      </c>
      <c r="D20" s="170">
        <f>SUM(D6:D18)</f>
        <v>1698200</v>
      </c>
      <c r="E20" s="170">
        <f>SUM(E6:E18)</f>
        <v>1698200</v>
      </c>
      <c r="F20" s="144">
        <f>SUM(F6:F18)</f>
        <v>0</v>
      </c>
      <c r="G20" s="161">
        <f>D20-E20-F20</f>
        <v>0</v>
      </c>
      <c r="H20" s="163"/>
    </row>
    <row r="21" spans="1:8" ht="18" thickTop="1" x14ac:dyDescent="0.3"/>
    <row r="26" spans="1:8" x14ac:dyDescent="0.3">
      <c r="D26" s="176"/>
    </row>
  </sheetData>
  <mergeCells count="2">
    <mergeCell ref="A1:G1"/>
    <mergeCell ref="A2:H2"/>
  </mergeCells>
  <pageMargins left="0.6" right="0.21" top="0.34" bottom="0.48" header="0.2800000000000000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13" workbookViewId="0">
      <selection activeCell="J28" sqref="J28:L35"/>
    </sheetView>
  </sheetViews>
  <sheetFormatPr defaultRowHeight="18.75" x14ac:dyDescent="0.3"/>
  <cols>
    <col min="1" max="2" width="7" style="1" customWidth="1"/>
    <col min="3" max="3" width="32.42578125" style="1" customWidth="1"/>
    <col min="4" max="4" width="12.42578125" style="1" customWidth="1"/>
    <col min="5" max="5" width="8.7109375" style="1" customWidth="1"/>
    <col min="6" max="6" width="12.140625" style="1" customWidth="1"/>
    <col min="7" max="7" width="10.7109375" style="1" customWidth="1"/>
    <col min="8" max="8" width="7.140625" style="1" customWidth="1"/>
    <col min="9" max="10" width="9.140625" style="1"/>
    <col min="11" max="11" width="17" style="8" customWidth="1"/>
    <col min="12" max="12" width="14.42578125" style="1" customWidth="1"/>
    <col min="13" max="16384" width="9.140625" style="1"/>
  </cols>
  <sheetData>
    <row r="1" spans="1:12" x14ac:dyDescent="0.3">
      <c r="A1" s="451" t="s">
        <v>2916</v>
      </c>
      <c r="B1" s="451"/>
      <c r="C1" s="451"/>
      <c r="D1" s="451"/>
      <c r="E1" s="451"/>
      <c r="F1" s="451"/>
      <c r="G1" s="451"/>
      <c r="H1" s="425"/>
      <c r="K1" s="8">
        <v>444000</v>
      </c>
    </row>
    <row r="2" spans="1:12" x14ac:dyDescent="0.3">
      <c r="A2" s="452" t="s">
        <v>2944</v>
      </c>
      <c r="B2" s="452"/>
      <c r="C2" s="452"/>
      <c r="D2" s="452"/>
      <c r="E2" s="452"/>
      <c r="F2" s="452"/>
      <c r="G2" s="452"/>
      <c r="H2" s="77"/>
      <c r="K2" s="8">
        <v>55653</v>
      </c>
    </row>
    <row r="3" spans="1:12" x14ac:dyDescent="0.3">
      <c r="A3" s="101" t="s">
        <v>14</v>
      </c>
      <c r="B3" s="63"/>
      <c r="C3" s="63"/>
      <c r="D3" s="63"/>
      <c r="E3" s="63"/>
      <c r="F3" s="63"/>
      <c r="G3" s="212" t="s">
        <v>5</v>
      </c>
      <c r="H3" s="77"/>
      <c r="K3" s="8">
        <v>12000</v>
      </c>
    </row>
    <row r="4" spans="1:12" x14ac:dyDescent="0.3">
      <c r="A4" s="102" t="s">
        <v>16</v>
      </c>
      <c r="B4" s="64" t="s">
        <v>12</v>
      </c>
      <c r="C4" s="65" t="s">
        <v>4</v>
      </c>
      <c r="D4" s="66" t="s">
        <v>25</v>
      </c>
      <c r="E4" s="103" t="s">
        <v>1</v>
      </c>
      <c r="F4" s="103"/>
      <c r="G4" s="66" t="s">
        <v>2</v>
      </c>
      <c r="H4" s="104" t="s">
        <v>3</v>
      </c>
      <c r="K4" s="8">
        <v>38207.97</v>
      </c>
    </row>
    <row r="5" spans="1:12" x14ac:dyDescent="0.3">
      <c r="A5" s="105"/>
      <c r="B5" s="67"/>
      <c r="C5" s="68"/>
      <c r="D5" s="69"/>
      <c r="E5" s="106"/>
      <c r="F5" s="106" t="s">
        <v>33</v>
      </c>
      <c r="G5" s="69"/>
      <c r="H5" s="107"/>
      <c r="K5" s="8">
        <v>103364.54</v>
      </c>
    </row>
    <row r="6" spans="1:12" x14ac:dyDescent="0.3">
      <c r="A6" s="89" t="s">
        <v>2864</v>
      </c>
      <c r="B6" s="90"/>
      <c r="C6" s="411" t="s">
        <v>2917</v>
      </c>
      <c r="D6" s="109"/>
      <c r="E6" s="73"/>
      <c r="F6" s="110"/>
      <c r="G6" s="110"/>
      <c r="H6" s="75"/>
      <c r="K6" s="8">
        <v>55271.37</v>
      </c>
    </row>
    <row r="7" spans="1:12" x14ac:dyDescent="0.3">
      <c r="A7" s="89"/>
      <c r="B7" s="90">
        <v>1</v>
      </c>
      <c r="C7" s="231" t="s">
        <v>2873</v>
      </c>
      <c r="D7" s="293">
        <v>78500</v>
      </c>
      <c r="E7" s="281"/>
      <c r="F7" s="282">
        <v>78500</v>
      </c>
      <c r="G7" s="110">
        <f>D7-E7-F7</f>
        <v>0</v>
      </c>
      <c r="H7" s="269"/>
      <c r="K7" s="8">
        <v>78500</v>
      </c>
    </row>
    <row r="8" spans="1:12" x14ac:dyDescent="0.3">
      <c r="A8" s="108"/>
      <c r="B8" s="70"/>
      <c r="C8" s="231"/>
      <c r="D8" s="42"/>
      <c r="E8" s="73"/>
      <c r="F8" s="110"/>
      <c r="G8" s="110"/>
      <c r="H8" s="75"/>
      <c r="K8" s="8">
        <v>275000</v>
      </c>
    </row>
    <row r="9" spans="1:12" x14ac:dyDescent="0.3">
      <c r="A9" s="108"/>
      <c r="B9" s="70">
        <v>2</v>
      </c>
      <c r="C9" s="231" t="s">
        <v>2874</v>
      </c>
      <c r="D9" s="109">
        <v>275000</v>
      </c>
      <c r="E9" s="110"/>
      <c r="F9" s="110">
        <v>275000</v>
      </c>
      <c r="G9" s="110">
        <f t="shared" ref="G9:G13" si="0">D9-E9-F9</f>
        <v>0</v>
      </c>
      <c r="H9" s="348"/>
      <c r="K9" s="8">
        <v>157400</v>
      </c>
    </row>
    <row r="10" spans="1:12" x14ac:dyDescent="0.3">
      <c r="A10" s="108"/>
      <c r="B10" s="70"/>
      <c r="C10" s="218"/>
      <c r="D10" s="109"/>
      <c r="E10" s="110"/>
      <c r="F10" s="110"/>
      <c r="G10" s="110"/>
      <c r="H10" s="348"/>
    </row>
    <row r="11" spans="1:12" x14ac:dyDescent="0.3">
      <c r="A11" s="108"/>
      <c r="B11" s="70">
        <v>3</v>
      </c>
      <c r="C11" s="218" t="s">
        <v>2875</v>
      </c>
      <c r="D11" s="110">
        <v>157400</v>
      </c>
      <c r="E11" s="134"/>
      <c r="F11" s="110">
        <v>157400</v>
      </c>
      <c r="G11" s="110">
        <f t="shared" si="0"/>
        <v>0</v>
      </c>
      <c r="H11" s="75"/>
      <c r="K11" s="8">
        <f>SUM(K1:K10)</f>
        <v>1219396.8799999999</v>
      </c>
      <c r="L11" s="8">
        <v>1219396.8799999999</v>
      </c>
    </row>
    <row r="12" spans="1:12" x14ac:dyDescent="0.3">
      <c r="A12" s="108"/>
      <c r="B12" s="70"/>
      <c r="C12" s="49"/>
      <c r="D12" s="73"/>
      <c r="E12" s="134"/>
      <c r="F12" s="110"/>
      <c r="G12" s="110"/>
      <c r="H12" s="75"/>
    </row>
    <row r="13" spans="1:12" x14ac:dyDescent="0.3">
      <c r="A13" s="108"/>
      <c r="B13" s="70">
        <v>4</v>
      </c>
      <c r="C13" s="231" t="s">
        <v>2876</v>
      </c>
      <c r="D13" s="109">
        <v>444000</v>
      </c>
      <c r="E13" s="110"/>
      <c r="F13" s="110">
        <v>444000</v>
      </c>
      <c r="G13" s="110">
        <f t="shared" si="0"/>
        <v>0</v>
      </c>
      <c r="H13" s="75"/>
    </row>
    <row r="14" spans="1:12" x14ac:dyDescent="0.3">
      <c r="A14" s="108"/>
      <c r="B14" s="70"/>
      <c r="C14" s="49"/>
      <c r="D14" s="73"/>
      <c r="E14" s="134"/>
      <c r="F14" s="110"/>
      <c r="G14" s="110"/>
      <c r="H14" s="75"/>
    </row>
    <row r="15" spans="1:12" x14ac:dyDescent="0.3">
      <c r="A15" s="108"/>
      <c r="B15" s="70">
        <v>5</v>
      </c>
      <c r="C15" s="74" t="s">
        <v>2915</v>
      </c>
      <c r="D15" s="73">
        <v>12000</v>
      </c>
      <c r="E15" s="134"/>
      <c r="F15" s="110">
        <f>D15</f>
        <v>12000</v>
      </c>
      <c r="G15" s="110"/>
      <c r="H15" s="75"/>
    </row>
    <row r="16" spans="1:12" x14ac:dyDescent="0.3">
      <c r="A16" s="108"/>
      <c r="B16" s="70"/>
      <c r="C16" s="49"/>
      <c r="D16" s="73"/>
      <c r="E16" s="134"/>
      <c r="F16" s="110"/>
      <c r="G16" s="110"/>
      <c r="H16" s="75"/>
    </row>
    <row r="17" spans="1:8" x14ac:dyDescent="0.3">
      <c r="A17" s="108"/>
      <c r="B17" s="70">
        <v>6</v>
      </c>
      <c r="C17" s="231" t="s">
        <v>2876</v>
      </c>
      <c r="D17" s="73">
        <v>55653</v>
      </c>
      <c r="E17" s="134"/>
      <c r="F17" s="110">
        <f>D17</f>
        <v>55653</v>
      </c>
      <c r="G17" s="110"/>
      <c r="H17" s="75"/>
    </row>
    <row r="18" spans="1:8" x14ac:dyDescent="0.3">
      <c r="A18" s="108"/>
      <c r="B18" s="70"/>
      <c r="C18" s="49"/>
      <c r="D18" s="73"/>
      <c r="E18" s="134"/>
      <c r="F18" s="110"/>
      <c r="G18" s="110"/>
      <c r="H18" s="75"/>
    </row>
    <row r="19" spans="1:8" x14ac:dyDescent="0.3">
      <c r="A19" s="108"/>
      <c r="B19" s="70">
        <v>7</v>
      </c>
      <c r="C19" s="231" t="s">
        <v>2876</v>
      </c>
      <c r="D19" s="73">
        <v>38207.97</v>
      </c>
      <c r="E19" s="134"/>
      <c r="F19" s="110">
        <f>D19</f>
        <v>38207.97</v>
      </c>
      <c r="G19" s="110"/>
      <c r="H19" s="75"/>
    </row>
    <row r="20" spans="1:8" x14ac:dyDescent="0.3">
      <c r="A20" s="108"/>
      <c r="B20" s="70"/>
      <c r="C20" s="49"/>
      <c r="D20" s="73"/>
      <c r="E20" s="134"/>
      <c r="F20" s="110"/>
      <c r="G20" s="110"/>
      <c r="H20" s="75"/>
    </row>
    <row r="21" spans="1:8" x14ac:dyDescent="0.3">
      <c r="A21" s="108"/>
      <c r="B21" s="70">
        <v>8</v>
      </c>
      <c r="C21" s="231" t="s">
        <v>2876</v>
      </c>
      <c r="D21" s="73">
        <v>103364.54</v>
      </c>
      <c r="E21" s="134"/>
      <c r="F21" s="110">
        <f>D21</f>
        <v>103364.54</v>
      </c>
      <c r="G21" s="110"/>
      <c r="H21" s="75"/>
    </row>
    <row r="22" spans="1:8" x14ac:dyDescent="0.3">
      <c r="A22" s="108"/>
      <c r="B22" s="70"/>
      <c r="C22" s="49"/>
      <c r="D22" s="73"/>
      <c r="E22" s="134"/>
      <c r="F22" s="110"/>
      <c r="G22" s="110"/>
      <c r="H22" s="75"/>
    </row>
    <row r="23" spans="1:8" x14ac:dyDescent="0.3">
      <c r="A23" s="108"/>
      <c r="B23" s="70">
        <v>9</v>
      </c>
      <c r="C23" s="231" t="s">
        <v>2876</v>
      </c>
      <c r="D23" s="73">
        <v>55271.37</v>
      </c>
      <c r="E23" s="134"/>
      <c r="F23" s="110">
        <f>D23</f>
        <v>55271.37</v>
      </c>
      <c r="G23" s="110"/>
      <c r="H23" s="75"/>
    </row>
    <row r="24" spans="1:8" x14ac:dyDescent="0.3">
      <c r="A24" s="89"/>
      <c r="B24" s="90"/>
      <c r="C24" s="49"/>
      <c r="D24" s="109"/>
      <c r="E24" s="110"/>
      <c r="F24" s="110"/>
      <c r="G24" s="110"/>
      <c r="H24" s="75"/>
    </row>
    <row r="25" spans="1:8" x14ac:dyDescent="0.3">
      <c r="A25" s="108"/>
      <c r="B25" s="70"/>
      <c r="C25" s="49"/>
      <c r="D25" s="73"/>
      <c r="E25" s="134"/>
      <c r="F25" s="110"/>
      <c r="G25" s="110"/>
      <c r="H25" s="75"/>
    </row>
    <row r="26" spans="1:8" x14ac:dyDescent="0.3">
      <c r="A26" s="108"/>
      <c r="B26" s="70"/>
      <c r="C26" s="49"/>
      <c r="D26" s="73"/>
      <c r="E26" s="134"/>
      <c r="F26" s="110"/>
      <c r="G26" s="110"/>
      <c r="H26" s="75"/>
    </row>
    <row r="27" spans="1:8" x14ac:dyDescent="0.3">
      <c r="A27" s="108"/>
      <c r="B27" s="70"/>
      <c r="C27" s="94"/>
      <c r="D27" s="278"/>
      <c r="E27" s="73"/>
      <c r="F27" s="73"/>
      <c r="G27" s="110"/>
      <c r="H27" s="75"/>
    </row>
    <row r="28" spans="1:8" x14ac:dyDescent="0.3">
      <c r="A28" s="108"/>
      <c r="B28" s="70"/>
      <c r="C28" s="49"/>
      <c r="D28" s="73"/>
      <c r="E28" s="73"/>
      <c r="F28" s="73"/>
      <c r="G28" s="110"/>
      <c r="H28" s="75"/>
    </row>
    <row r="29" spans="1:8" x14ac:dyDescent="0.3">
      <c r="A29" s="114"/>
      <c r="B29" s="115"/>
      <c r="C29" s="116"/>
      <c r="D29" s="35"/>
      <c r="E29" s="35"/>
      <c r="F29" s="35"/>
      <c r="G29" s="35"/>
      <c r="H29" s="117"/>
    </row>
    <row r="30" spans="1:8" ht="19.5" thickBot="1" x14ac:dyDescent="0.35">
      <c r="A30" s="118"/>
      <c r="B30" s="119"/>
      <c r="C30" s="120" t="s">
        <v>150</v>
      </c>
      <c r="D30" s="258">
        <f>SUM(D7:D29)</f>
        <v>1219396.8800000001</v>
      </c>
      <c r="E30" s="170">
        <f>SUM(E7:E29)</f>
        <v>0</v>
      </c>
      <c r="F30" s="258">
        <f>SUM(F7:F29)</f>
        <v>1219396.8800000001</v>
      </c>
      <c r="G30" s="170">
        <f>D30-E30-F30</f>
        <v>0</v>
      </c>
      <c r="H30" s="122"/>
    </row>
    <row r="31" spans="1:8" ht="19.5" thickTop="1" x14ac:dyDescent="0.3"/>
  </sheetData>
  <mergeCells count="2">
    <mergeCell ref="A1:G1"/>
    <mergeCell ref="A2:G2"/>
  </mergeCells>
  <pageMargins left="0.47" right="0.3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C7" sqref="C7"/>
    </sheetView>
  </sheetViews>
  <sheetFormatPr defaultRowHeight="18.75" x14ac:dyDescent="0.3"/>
  <cols>
    <col min="1" max="1" width="7" style="1" customWidth="1"/>
    <col min="2" max="2" width="7.5703125" style="1" customWidth="1"/>
    <col min="3" max="3" width="37.140625" style="1" customWidth="1"/>
    <col min="4" max="4" width="10.5703125" style="1" customWidth="1"/>
    <col min="5" max="5" width="10" style="1" customWidth="1"/>
    <col min="6" max="6" width="9.28515625" style="1" customWidth="1"/>
    <col min="7" max="7" width="10.42578125" style="1" customWidth="1"/>
    <col min="8" max="8" width="8.42578125" style="1" customWidth="1"/>
    <col min="9" max="16384" width="9.140625" style="1"/>
  </cols>
  <sheetData>
    <row r="1" spans="1:8" x14ac:dyDescent="0.3">
      <c r="A1" s="451" t="s">
        <v>2462</v>
      </c>
      <c r="B1" s="451"/>
      <c r="C1" s="451"/>
      <c r="D1" s="451"/>
      <c r="E1" s="451"/>
      <c r="F1" s="451"/>
      <c r="G1" s="451"/>
      <c r="H1" s="425" t="s">
        <v>160</v>
      </c>
    </row>
    <row r="2" spans="1:8" x14ac:dyDescent="0.3">
      <c r="A2" s="451" t="s">
        <v>2463</v>
      </c>
      <c r="B2" s="451"/>
      <c r="C2" s="451"/>
      <c r="D2" s="451"/>
      <c r="E2" s="451"/>
      <c r="F2" s="451"/>
      <c r="G2" s="451"/>
      <c r="H2" s="77"/>
    </row>
    <row r="3" spans="1:8" x14ac:dyDescent="0.3">
      <c r="A3" s="101" t="s">
        <v>14</v>
      </c>
      <c r="B3" s="63"/>
      <c r="C3" s="63"/>
      <c r="D3" s="63"/>
      <c r="E3" s="63"/>
      <c r="F3" s="63"/>
      <c r="G3" s="77" t="s">
        <v>161</v>
      </c>
      <c r="H3" s="77" t="s">
        <v>162</v>
      </c>
    </row>
    <row r="4" spans="1:8" x14ac:dyDescent="0.3">
      <c r="A4" s="102" t="s">
        <v>16</v>
      </c>
      <c r="B4" s="64" t="s">
        <v>12</v>
      </c>
      <c r="C4" s="65" t="s">
        <v>4</v>
      </c>
      <c r="D4" s="66" t="s">
        <v>25</v>
      </c>
      <c r="E4" s="103" t="s">
        <v>1</v>
      </c>
      <c r="F4" s="103" t="s">
        <v>123</v>
      </c>
      <c r="G4" s="66" t="s">
        <v>2</v>
      </c>
      <c r="H4" s="104" t="s">
        <v>3</v>
      </c>
    </row>
    <row r="5" spans="1:8" x14ac:dyDescent="0.3">
      <c r="A5" s="105"/>
      <c r="B5" s="67"/>
      <c r="C5" s="68"/>
      <c r="D5" s="69"/>
      <c r="E5" s="106"/>
      <c r="F5" s="106"/>
      <c r="G5" s="69"/>
      <c r="H5" s="107" t="s">
        <v>17</v>
      </c>
    </row>
    <row r="6" spans="1:8" x14ac:dyDescent="0.3">
      <c r="A6" s="89"/>
      <c r="B6" s="90"/>
      <c r="C6" s="411" t="s">
        <v>2649</v>
      </c>
      <c r="D6" s="109"/>
      <c r="E6" s="73"/>
      <c r="F6" s="110"/>
      <c r="G6" s="110"/>
      <c r="H6" s="75"/>
    </row>
    <row r="7" spans="1:8" x14ac:dyDescent="0.3">
      <c r="A7" s="89" t="s">
        <v>2403</v>
      </c>
      <c r="B7" s="90"/>
      <c r="C7" s="231" t="s">
        <v>2467</v>
      </c>
      <c r="D7" s="109">
        <v>45319</v>
      </c>
      <c r="E7" s="73"/>
      <c r="F7" s="110"/>
      <c r="G7" s="110">
        <f>D7</f>
        <v>45319</v>
      </c>
      <c r="H7" s="75"/>
    </row>
    <row r="8" spans="1:8" x14ac:dyDescent="0.3">
      <c r="A8" s="89"/>
      <c r="B8" s="90"/>
      <c r="C8" s="231" t="s">
        <v>2466</v>
      </c>
      <c r="D8" s="293">
        <v>42250</v>
      </c>
      <c r="E8" s="281"/>
      <c r="F8" s="282"/>
      <c r="G8" s="110">
        <f>G7+D8</f>
        <v>87569</v>
      </c>
      <c r="H8" s="269"/>
    </row>
    <row r="9" spans="1:8" x14ac:dyDescent="0.3">
      <c r="A9" s="108"/>
      <c r="B9" s="70"/>
      <c r="C9" s="231" t="s">
        <v>2469</v>
      </c>
      <c r="D9" s="42">
        <v>9207</v>
      </c>
      <c r="E9" s="73"/>
      <c r="F9" s="110"/>
      <c r="G9" s="110">
        <f>G8+D9</f>
        <v>96776</v>
      </c>
      <c r="H9" s="75"/>
    </row>
    <row r="10" spans="1:8" x14ac:dyDescent="0.3">
      <c r="A10" s="108" t="s">
        <v>2494</v>
      </c>
      <c r="B10" s="70"/>
      <c r="C10" s="49" t="s">
        <v>2495</v>
      </c>
      <c r="D10" s="109"/>
      <c r="E10" s="110">
        <v>31230</v>
      </c>
      <c r="F10" s="110"/>
      <c r="G10" s="110">
        <f>G9-E10-F10</f>
        <v>65546</v>
      </c>
      <c r="H10" s="348"/>
    </row>
    <row r="11" spans="1:8" x14ac:dyDescent="0.3">
      <c r="A11" s="108" t="s">
        <v>2728</v>
      </c>
      <c r="B11" s="70"/>
      <c r="C11" s="218" t="s">
        <v>2673</v>
      </c>
      <c r="D11" s="109"/>
      <c r="E11" s="110">
        <v>32695</v>
      </c>
      <c r="F11" s="110"/>
      <c r="G11" s="110">
        <f t="shared" ref="G11:G12" si="0">G10-E11-F11</f>
        <v>32851</v>
      </c>
      <c r="H11" s="348"/>
    </row>
    <row r="12" spans="1:8" x14ac:dyDescent="0.3">
      <c r="A12" s="108" t="s">
        <v>2867</v>
      </c>
      <c r="B12" s="70" t="s">
        <v>2914</v>
      </c>
      <c r="C12" s="218" t="s">
        <v>2674</v>
      </c>
      <c r="D12" s="73"/>
      <c r="E12" s="134">
        <v>32185</v>
      </c>
      <c r="F12" s="110"/>
      <c r="G12" s="110">
        <f t="shared" si="0"/>
        <v>666</v>
      </c>
      <c r="H12" s="75"/>
    </row>
    <row r="13" spans="1:8" x14ac:dyDescent="0.3">
      <c r="A13" s="108"/>
      <c r="B13" s="70"/>
      <c r="C13" s="49" t="s">
        <v>2796</v>
      </c>
      <c r="D13" s="73">
        <v>-666</v>
      </c>
      <c r="E13" s="134"/>
      <c r="F13" s="110"/>
      <c r="G13" s="110">
        <v>0</v>
      </c>
      <c r="H13" s="75"/>
    </row>
    <row r="14" spans="1:8" x14ac:dyDescent="0.3">
      <c r="A14" s="108"/>
      <c r="B14" s="70"/>
      <c r="C14" s="49"/>
      <c r="D14" s="73"/>
      <c r="E14" s="134"/>
      <c r="F14" s="110"/>
      <c r="G14" s="110"/>
      <c r="H14" s="75"/>
    </row>
    <row r="15" spans="1:8" x14ac:dyDescent="0.3">
      <c r="A15" s="108"/>
      <c r="B15" s="70"/>
      <c r="C15" s="49"/>
      <c r="D15" s="109"/>
      <c r="E15" s="110"/>
      <c r="F15" s="110"/>
      <c r="G15" s="110"/>
      <c r="H15" s="75"/>
    </row>
    <row r="16" spans="1:8" x14ac:dyDescent="0.3">
      <c r="A16" s="108"/>
      <c r="B16" s="70"/>
      <c r="C16" s="49"/>
      <c r="D16" s="73"/>
      <c r="E16" s="134"/>
      <c r="F16" s="110"/>
      <c r="G16" s="110"/>
      <c r="H16" s="75"/>
    </row>
    <row r="17" spans="1:8" x14ac:dyDescent="0.3">
      <c r="A17" s="89"/>
      <c r="B17" s="90"/>
      <c r="C17" s="49"/>
      <c r="D17" s="109"/>
      <c r="E17" s="110"/>
      <c r="F17" s="110"/>
      <c r="G17" s="110"/>
      <c r="H17" s="75"/>
    </row>
    <row r="18" spans="1:8" x14ac:dyDescent="0.3">
      <c r="A18" s="108"/>
      <c r="B18" s="70"/>
      <c r="C18" s="49"/>
      <c r="D18" s="73"/>
      <c r="E18" s="134"/>
      <c r="F18" s="110"/>
      <c r="G18" s="110"/>
      <c r="H18" s="75"/>
    </row>
    <row r="19" spans="1:8" x14ac:dyDescent="0.3">
      <c r="A19" s="108"/>
      <c r="B19" s="70"/>
      <c r="C19" s="49"/>
      <c r="D19" s="73"/>
      <c r="E19" s="134"/>
      <c r="F19" s="110"/>
      <c r="G19" s="110"/>
      <c r="H19" s="75"/>
    </row>
    <row r="20" spans="1:8" x14ac:dyDescent="0.3">
      <c r="A20" s="108"/>
      <c r="B20" s="70"/>
      <c r="C20" s="94"/>
      <c r="D20" s="278"/>
      <c r="E20" s="73"/>
      <c r="F20" s="73"/>
      <c r="G20" s="110"/>
      <c r="H20" s="75"/>
    </row>
    <row r="21" spans="1:8" x14ac:dyDescent="0.3">
      <c r="A21" s="108"/>
      <c r="B21" s="70"/>
      <c r="C21" s="49"/>
      <c r="D21" s="73"/>
      <c r="E21" s="73"/>
      <c r="F21" s="73"/>
      <c r="G21" s="110"/>
      <c r="H21" s="75"/>
    </row>
    <row r="22" spans="1:8" x14ac:dyDescent="0.3">
      <c r="A22" s="114"/>
      <c r="B22" s="115"/>
      <c r="C22" s="116"/>
      <c r="D22" s="35"/>
      <c r="E22" s="35"/>
      <c r="F22" s="35"/>
      <c r="G22" s="35"/>
      <c r="H22" s="117"/>
    </row>
    <row r="23" spans="1:8" ht="19.5" thickBot="1" x14ac:dyDescent="0.35">
      <c r="A23" s="118"/>
      <c r="B23" s="119"/>
      <c r="C23" s="120" t="s">
        <v>150</v>
      </c>
      <c r="D23" s="412">
        <f>SUM(D7:D22)</f>
        <v>96110</v>
      </c>
      <c r="E23" s="412">
        <f>SUM(E9:E22)</f>
        <v>96110</v>
      </c>
      <c r="F23" s="170">
        <f>SUM(F9:F22)</f>
        <v>0</v>
      </c>
      <c r="G23" s="144">
        <f>D23-E23-F23</f>
        <v>0</v>
      </c>
      <c r="H23" s="122"/>
    </row>
    <row r="24" spans="1:8" ht="19.5" thickTop="1" x14ac:dyDescent="0.3"/>
  </sheetData>
  <mergeCells count="2">
    <mergeCell ref="A1:G1"/>
    <mergeCell ref="A2:G2"/>
  </mergeCells>
  <pageMargins left="0.47" right="0.3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6"/>
  <sheetViews>
    <sheetView topLeftCell="A125" workbookViewId="0">
      <selection activeCell="D108" sqref="D108"/>
    </sheetView>
  </sheetViews>
  <sheetFormatPr defaultRowHeight="18.75" x14ac:dyDescent="0.3"/>
  <cols>
    <col min="1" max="1" width="7.28515625" style="23" customWidth="1"/>
    <col min="2" max="2" width="8.7109375" style="78" customWidth="1"/>
    <col min="3" max="3" width="33.42578125" style="18" customWidth="1"/>
    <col min="4" max="4" width="11.28515625" style="18" customWidth="1"/>
    <col min="5" max="5" width="10.7109375" style="18" customWidth="1"/>
    <col min="6" max="6" width="9.28515625" style="18" customWidth="1"/>
    <col min="7" max="7" width="11.28515625" style="18" customWidth="1"/>
    <col min="8" max="8" width="9.140625" style="23" customWidth="1"/>
    <col min="9" max="9" width="9.140625" style="18"/>
    <col min="10" max="10" width="13.5703125" style="1" bestFit="1" customWidth="1"/>
    <col min="11" max="11" width="11.140625" style="18" customWidth="1"/>
    <col min="12" max="12" width="10.42578125" style="1" customWidth="1"/>
    <col min="13" max="13" width="9.140625" style="18"/>
    <col min="14" max="14" width="14.42578125" style="18" customWidth="1"/>
    <col min="15" max="15" width="11.28515625" style="18" customWidth="1"/>
    <col min="16" max="16" width="8" style="18" customWidth="1"/>
    <col min="17" max="16384" width="9.140625" style="18"/>
  </cols>
  <sheetData>
    <row r="1" spans="1:10" x14ac:dyDescent="0.3">
      <c r="A1" s="451" t="s">
        <v>157</v>
      </c>
      <c r="B1" s="451"/>
      <c r="C1" s="451"/>
      <c r="D1" s="451"/>
      <c r="E1" s="451"/>
      <c r="F1" s="451"/>
      <c r="G1" s="451"/>
      <c r="H1" s="101" t="s">
        <v>160</v>
      </c>
    </row>
    <row r="2" spans="1:10" x14ac:dyDescent="0.3">
      <c r="A2" s="451" t="s">
        <v>2922</v>
      </c>
      <c r="B2" s="451"/>
      <c r="C2" s="451"/>
      <c r="D2" s="451"/>
      <c r="E2" s="451"/>
      <c r="F2" s="451"/>
      <c r="G2" s="451"/>
      <c r="H2" s="101"/>
    </row>
    <row r="3" spans="1:10" x14ac:dyDescent="0.3">
      <c r="A3" s="101" t="s">
        <v>14</v>
      </c>
      <c r="B3" s="77"/>
      <c r="C3" s="63"/>
      <c r="D3" s="63"/>
      <c r="E3" s="63"/>
      <c r="F3" s="63"/>
      <c r="G3" s="77" t="s">
        <v>161</v>
      </c>
      <c r="H3" s="77" t="s">
        <v>162</v>
      </c>
    </row>
    <row r="4" spans="1:10" x14ac:dyDescent="0.3">
      <c r="A4" s="102" t="s">
        <v>16</v>
      </c>
      <c r="B4" s="80" t="s">
        <v>12</v>
      </c>
      <c r="C4" s="65" t="s">
        <v>4</v>
      </c>
      <c r="D4" s="260" t="s">
        <v>25</v>
      </c>
      <c r="E4" s="103" t="s">
        <v>1</v>
      </c>
      <c r="F4" s="103" t="s">
        <v>123</v>
      </c>
      <c r="G4" s="66" t="s">
        <v>2</v>
      </c>
      <c r="H4" s="104" t="s">
        <v>3</v>
      </c>
    </row>
    <row r="5" spans="1:10" x14ac:dyDescent="0.3">
      <c r="A5" s="105"/>
      <c r="B5" s="84"/>
      <c r="C5" s="68"/>
      <c r="D5" s="261"/>
      <c r="E5" s="106"/>
      <c r="F5" s="106" t="s">
        <v>33</v>
      </c>
      <c r="G5" s="69"/>
      <c r="H5" s="107" t="s">
        <v>17</v>
      </c>
    </row>
    <row r="6" spans="1:10" x14ac:dyDescent="0.3">
      <c r="A6" s="89" t="s">
        <v>168</v>
      </c>
      <c r="B6" s="90" t="s">
        <v>169</v>
      </c>
      <c r="C6" s="49" t="s">
        <v>1668</v>
      </c>
      <c r="D6" s="42">
        <v>700000</v>
      </c>
      <c r="E6" s="73"/>
      <c r="F6" s="110"/>
      <c r="G6" s="110">
        <f>D6</f>
        <v>700000</v>
      </c>
      <c r="H6" s="75"/>
      <c r="I6" s="23" t="s">
        <v>1669</v>
      </c>
    </row>
    <row r="7" spans="1:10" x14ac:dyDescent="0.3">
      <c r="A7" s="238" t="s">
        <v>664</v>
      </c>
      <c r="B7" s="228" t="s">
        <v>779</v>
      </c>
      <c r="C7" s="49" t="s">
        <v>1664</v>
      </c>
      <c r="D7" s="42">
        <v>700000</v>
      </c>
      <c r="E7" s="73"/>
      <c r="F7" s="110"/>
      <c r="G7" s="110">
        <f>G6+D7</f>
        <v>1400000</v>
      </c>
      <c r="H7" s="75"/>
    </row>
    <row r="8" spans="1:10" x14ac:dyDescent="0.3">
      <c r="A8" s="238"/>
      <c r="B8" s="228"/>
      <c r="C8" s="49" t="s">
        <v>1646</v>
      </c>
      <c r="D8" s="42">
        <v>-500000</v>
      </c>
      <c r="E8" s="73"/>
      <c r="F8" s="110"/>
      <c r="G8" s="110">
        <f>G7+D8</f>
        <v>900000</v>
      </c>
      <c r="H8" s="75"/>
    </row>
    <row r="9" spans="1:10" x14ac:dyDescent="0.3">
      <c r="A9" s="238" t="s">
        <v>1207</v>
      </c>
      <c r="B9" s="228" t="s">
        <v>1208</v>
      </c>
      <c r="C9" s="76" t="s">
        <v>1666</v>
      </c>
      <c r="D9" s="46">
        <v>1000000</v>
      </c>
      <c r="E9" s="268"/>
      <c r="F9" s="283"/>
      <c r="G9" s="283">
        <f>G8+D9</f>
        <v>1900000</v>
      </c>
      <c r="H9" s="192"/>
      <c r="J9" s="8">
        <v>1400000</v>
      </c>
    </row>
    <row r="10" spans="1:10" x14ac:dyDescent="0.3">
      <c r="A10" s="238"/>
      <c r="B10" s="89"/>
      <c r="C10" s="94" t="s">
        <v>1647</v>
      </c>
      <c r="D10" s="42">
        <v>-950000</v>
      </c>
      <c r="E10" s="73"/>
      <c r="F10" s="110"/>
      <c r="G10" s="288">
        <f>G9+D10</f>
        <v>950000</v>
      </c>
      <c r="H10" s="75"/>
      <c r="J10" s="8">
        <v>500000</v>
      </c>
    </row>
    <row r="11" spans="1:10" x14ac:dyDescent="0.3">
      <c r="A11" s="238" t="s">
        <v>1625</v>
      </c>
      <c r="B11" s="228" t="s">
        <v>1662</v>
      </c>
      <c r="C11" s="76" t="s">
        <v>1665</v>
      </c>
      <c r="D11" s="41">
        <v>405500</v>
      </c>
      <c r="E11" s="284"/>
      <c r="F11" s="285"/>
      <c r="G11" s="286">
        <f>G10+D11</f>
        <v>1355500</v>
      </c>
      <c r="H11" s="287"/>
      <c r="J11" s="8">
        <f>J9-J10</f>
        <v>900000</v>
      </c>
    </row>
    <row r="12" spans="1:10" x14ac:dyDescent="0.3">
      <c r="A12" s="238"/>
      <c r="B12" s="228"/>
      <c r="C12" s="280"/>
      <c r="D12" s="47"/>
      <c r="E12" s="281"/>
      <c r="F12" s="282"/>
      <c r="G12" s="282"/>
      <c r="H12" s="269"/>
      <c r="J12" s="8">
        <v>50000</v>
      </c>
    </row>
    <row r="13" spans="1:10" x14ac:dyDescent="0.3">
      <c r="A13" s="89"/>
      <c r="B13" s="90">
        <v>1</v>
      </c>
      <c r="C13" s="49" t="s">
        <v>290</v>
      </c>
      <c r="D13" s="42">
        <f>434290</f>
        <v>434290</v>
      </c>
      <c r="E13" s="73"/>
      <c r="F13" s="110"/>
      <c r="G13" s="110">
        <f>D13</f>
        <v>434290</v>
      </c>
      <c r="H13" s="75" t="s">
        <v>291</v>
      </c>
      <c r="J13" s="271"/>
    </row>
    <row r="14" spans="1:10" x14ac:dyDescent="0.3">
      <c r="A14" s="108" t="s">
        <v>249</v>
      </c>
      <c r="B14" s="90" t="s">
        <v>248</v>
      </c>
      <c r="C14" s="49" t="s">
        <v>250</v>
      </c>
      <c r="D14" s="42"/>
      <c r="E14" s="110">
        <v>247810</v>
      </c>
      <c r="F14" s="110"/>
      <c r="G14" s="110">
        <f>G13-E14</f>
        <v>186480</v>
      </c>
      <c r="H14" s="75"/>
    </row>
    <row r="15" spans="1:10" x14ac:dyDescent="0.3">
      <c r="A15" s="108" t="s">
        <v>281</v>
      </c>
      <c r="B15" s="90" t="s">
        <v>282</v>
      </c>
      <c r="C15" s="49" t="s">
        <v>280</v>
      </c>
      <c r="D15" s="42"/>
      <c r="E15" s="110">
        <v>11450</v>
      </c>
      <c r="F15" s="110"/>
      <c r="G15" s="110">
        <f>G14-E15</f>
        <v>175030</v>
      </c>
      <c r="H15" s="75"/>
    </row>
    <row r="16" spans="1:10" x14ac:dyDescent="0.3">
      <c r="A16" s="108"/>
      <c r="B16" s="90" t="s">
        <v>283</v>
      </c>
      <c r="C16" s="49" t="s">
        <v>280</v>
      </c>
      <c r="D16" s="256"/>
      <c r="E16" s="110">
        <v>17717</v>
      </c>
      <c r="F16" s="110"/>
      <c r="G16" s="110">
        <f>G15-E16</f>
        <v>157313</v>
      </c>
      <c r="H16" s="75"/>
    </row>
    <row r="17" spans="1:8" x14ac:dyDescent="0.3">
      <c r="A17" s="108" t="s">
        <v>326</v>
      </c>
      <c r="B17" s="90" t="s">
        <v>329</v>
      </c>
      <c r="C17" s="49" t="s">
        <v>330</v>
      </c>
      <c r="D17" s="42"/>
      <c r="E17" s="110">
        <v>16400</v>
      </c>
      <c r="F17" s="110"/>
      <c r="G17" s="110">
        <f>G16-E17</f>
        <v>140913</v>
      </c>
      <c r="H17" s="75"/>
    </row>
    <row r="18" spans="1:8" x14ac:dyDescent="0.3">
      <c r="A18" s="108" t="s">
        <v>317</v>
      </c>
      <c r="B18" s="90" t="s">
        <v>335</v>
      </c>
      <c r="C18" s="49" t="s">
        <v>336</v>
      </c>
      <c r="D18" s="42"/>
      <c r="E18" s="110">
        <v>22975</v>
      </c>
      <c r="F18" s="110"/>
      <c r="G18" s="110">
        <f>G17-E18</f>
        <v>117938</v>
      </c>
      <c r="H18" s="75"/>
    </row>
    <row r="19" spans="1:8" x14ac:dyDescent="0.3">
      <c r="A19" s="108" t="s">
        <v>368</v>
      </c>
      <c r="B19" s="90" t="s">
        <v>372</v>
      </c>
      <c r="C19" s="49" t="s">
        <v>354</v>
      </c>
      <c r="D19" s="42"/>
      <c r="E19" s="110">
        <v>48000</v>
      </c>
      <c r="F19" s="134"/>
      <c r="G19" s="110">
        <f>G18-E19-F19</f>
        <v>69938</v>
      </c>
      <c r="H19" s="75"/>
    </row>
    <row r="20" spans="1:8" x14ac:dyDescent="0.3">
      <c r="A20" s="108" t="s">
        <v>373</v>
      </c>
      <c r="B20" s="90" t="s">
        <v>374</v>
      </c>
      <c r="C20" s="49" t="s">
        <v>845</v>
      </c>
      <c r="D20" s="42"/>
      <c r="E20" s="110">
        <v>46520</v>
      </c>
      <c r="F20" s="110"/>
      <c r="G20" s="110">
        <f>G19-E20-F20</f>
        <v>23418</v>
      </c>
      <c r="H20" s="75">
        <v>15420</v>
      </c>
    </row>
    <row r="21" spans="1:8" x14ac:dyDescent="0.3">
      <c r="A21" s="89"/>
      <c r="B21" s="90"/>
      <c r="C21" s="49" t="s">
        <v>846</v>
      </c>
      <c r="D21" s="42"/>
      <c r="E21" s="110">
        <v>-15420</v>
      </c>
      <c r="F21" s="110"/>
      <c r="G21" s="110">
        <f>G20-E21-F21</f>
        <v>38838</v>
      </c>
      <c r="H21" s="75"/>
    </row>
    <row r="22" spans="1:8" x14ac:dyDescent="0.3">
      <c r="A22" s="89"/>
      <c r="B22" s="90"/>
      <c r="C22" s="49" t="s">
        <v>1645</v>
      </c>
      <c r="D22" s="262">
        <v>-38838</v>
      </c>
      <c r="E22" s="110"/>
      <c r="F22" s="110"/>
      <c r="G22" s="110">
        <f>G21+D22</f>
        <v>0</v>
      </c>
      <c r="H22" s="75"/>
    </row>
    <row r="23" spans="1:8" x14ac:dyDescent="0.3">
      <c r="A23" s="89"/>
      <c r="B23" s="90">
        <v>2</v>
      </c>
      <c r="C23" s="49" t="s">
        <v>292</v>
      </c>
      <c r="D23" s="42">
        <v>100000</v>
      </c>
      <c r="E23" s="73"/>
      <c r="F23" s="110"/>
      <c r="G23" s="110">
        <f>D23</f>
        <v>100000</v>
      </c>
      <c r="H23" s="75" t="s">
        <v>24</v>
      </c>
    </row>
    <row r="24" spans="1:8" x14ac:dyDescent="0.3">
      <c r="A24" s="89" t="s">
        <v>229</v>
      </c>
      <c r="B24" s="90" t="s">
        <v>247</v>
      </c>
      <c r="C24" s="49" t="s">
        <v>237</v>
      </c>
      <c r="D24" s="42"/>
      <c r="E24" s="110">
        <v>12288</v>
      </c>
      <c r="F24" s="110"/>
      <c r="G24" s="110">
        <f t="shared" ref="G24:G40" si="0">G23-E24</f>
        <v>87712</v>
      </c>
      <c r="H24" s="75"/>
    </row>
    <row r="25" spans="1:8" x14ac:dyDescent="0.3">
      <c r="A25" s="108" t="s">
        <v>221</v>
      </c>
      <c r="B25" s="90" t="s">
        <v>264</v>
      </c>
      <c r="C25" s="49" t="s">
        <v>263</v>
      </c>
      <c r="D25" s="256"/>
      <c r="E25" s="110">
        <v>10812</v>
      </c>
      <c r="F25" s="110"/>
      <c r="G25" s="110">
        <f t="shared" si="0"/>
        <v>76900</v>
      </c>
      <c r="H25" s="75"/>
    </row>
    <row r="26" spans="1:8" x14ac:dyDescent="0.3">
      <c r="A26" s="108" t="s">
        <v>615</v>
      </c>
      <c r="B26" s="90" t="s">
        <v>617</v>
      </c>
      <c r="C26" s="49" t="s">
        <v>637</v>
      </c>
      <c r="D26" s="42"/>
      <c r="E26" s="110">
        <v>1080</v>
      </c>
      <c r="F26" s="110"/>
      <c r="G26" s="110">
        <f t="shared" si="0"/>
        <v>75820</v>
      </c>
      <c r="H26" s="75"/>
    </row>
    <row r="27" spans="1:8" x14ac:dyDescent="0.3">
      <c r="A27" s="108"/>
      <c r="B27" s="90" t="s">
        <v>619</v>
      </c>
      <c r="C27" s="49" t="s">
        <v>618</v>
      </c>
      <c r="D27" s="42"/>
      <c r="E27" s="110">
        <v>7488</v>
      </c>
      <c r="F27" s="110"/>
      <c r="G27" s="110">
        <f t="shared" si="0"/>
        <v>68332</v>
      </c>
      <c r="H27" s="75"/>
    </row>
    <row r="28" spans="1:8" x14ac:dyDescent="0.3">
      <c r="A28" s="108" t="s">
        <v>639</v>
      </c>
      <c r="B28" s="90" t="s">
        <v>638</v>
      </c>
      <c r="C28" s="49" t="s">
        <v>636</v>
      </c>
      <c r="D28" s="42"/>
      <c r="E28" s="110">
        <v>2600</v>
      </c>
      <c r="F28" s="110"/>
      <c r="G28" s="110">
        <f t="shared" si="0"/>
        <v>65732</v>
      </c>
      <c r="H28" s="75"/>
    </row>
    <row r="29" spans="1:8" x14ac:dyDescent="0.3">
      <c r="A29" s="108" t="s">
        <v>712</v>
      </c>
      <c r="B29" s="90" t="s">
        <v>713</v>
      </c>
      <c r="C29" s="49" t="s">
        <v>711</v>
      </c>
      <c r="D29" s="42"/>
      <c r="E29" s="110">
        <v>4176</v>
      </c>
      <c r="F29" s="110"/>
      <c r="G29" s="110">
        <f t="shared" si="0"/>
        <v>61556</v>
      </c>
      <c r="H29" s="75"/>
    </row>
    <row r="30" spans="1:8" x14ac:dyDescent="0.3">
      <c r="A30" s="108" t="s">
        <v>832</v>
      </c>
      <c r="B30" s="90" t="s">
        <v>843</v>
      </c>
      <c r="C30" s="49" t="s">
        <v>842</v>
      </c>
      <c r="D30" s="42"/>
      <c r="E30" s="110">
        <v>2456</v>
      </c>
      <c r="F30" s="110"/>
      <c r="G30" s="110">
        <f t="shared" si="0"/>
        <v>59100</v>
      </c>
      <c r="H30" s="75"/>
    </row>
    <row r="31" spans="1:8" x14ac:dyDescent="0.3">
      <c r="A31" s="108" t="s">
        <v>885</v>
      </c>
      <c r="B31" s="90" t="s">
        <v>890</v>
      </c>
      <c r="C31" s="49" t="s">
        <v>889</v>
      </c>
      <c r="D31" s="42"/>
      <c r="E31" s="110">
        <v>2616</v>
      </c>
      <c r="F31" s="110"/>
      <c r="G31" s="110">
        <f t="shared" si="0"/>
        <v>56484</v>
      </c>
      <c r="H31" s="75"/>
    </row>
    <row r="32" spans="1:8" x14ac:dyDescent="0.3">
      <c r="A32" s="108" t="s">
        <v>1003</v>
      </c>
      <c r="B32" s="90" t="s">
        <v>1482</v>
      </c>
      <c r="C32" s="49" t="s">
        <v>636</v>
      </c>
      <c r="D32" s="42"/>
      <c r="E32" s="110">
        <v>3572</v>
      </c>
      <c r="F32" s="110"/>
      <c r="G32" s="110">
        <f t="shared" si="0"/>
        <v>52912</v>
      </c>
      <c r="H32" s="75"/>
    </row>
    <row r="33" spans="1:11" x14ac:dyDescent="0.3">
      <c r="A33" s="108" t="s">
        <v>1016</v>
      </c>
      <c r="B33" s="90" t="s">
        <v>1034</v>
      </c>
      <c r="C33" s="49" t="s">
        <v>1035</v>
      </c>
      <c r="D33" s="42"/>
      <c r="E33" s="110">
        <v>9688</v>
      </c>
      <c r="F33" s="110"/>
      <c r="G33" s="110">
        <f t="shared" si="0"/>
        <v>43224</v>
      </c>
      <c r="H33" s="75"/>
    </row>
    <row r="34" spans="1:11" x14ac:dyDescent="0.3">
      <c r="A34" s="108" t="s">
        <v>1061</v>
      </c>
      <c r="B34" s="90" t="s">
        <v>1096</v>
      </c>
      <c r="C34" s="49" t="s">
        <v>1097</v>
      </c>
      <c r="D34" s="42"/>
      <c r="E34" s="110">
        <v>3200</v>
      </c>
      <c r="F34" s="110"/>
      <c r="G34" s="110">
        <f t="shared" si="0"/>
        <v>40024</v>
      </c>
      <c r="H34" s="75"/>
    </row>
    <row r="35" spans="1:11" x14ac:dyDescent="0.3">
      <c r="A35" s="108" t="s">
        <v>1128</v>
      </c>
      <c r="B35" s="90" t="s">
        <v>1162</v>
      </c>
      <c r="C35" s="49" t="s">
        <v>1133</v>
      </c>
      <c r="D35" s="42"/>
      <c r="E35" s="110">
        <v>2972</v>
      </c>
      <c r="F35" s="110"/>
      <c r="G35" s="110">
        <f t="shared" si="0"/>
        <v>37052</v>
      </c>
      <c r="H35" s="75"/>
      <c r="I35" s="18" t="s">
        <v>1450</v>
      </c>
    </row>
    <row r="36" spans="1:11" x14ac:dyDescent="0.3">
      <c r="A36" s="108" t="s">
        <v>1171</v>
      </c>
      <c r="B36" s="90" t="s">
        <v>1172</v>
      </c>
      <c r="C36" s="49" t="s">
        <v>1170</v>
      </c>
      <c r="D36" s="42"/>
      <c r="E36" s="110">
        <v>3712</v>
      </c>
      <c r="F36" s="110"/>
      <c r="G36" s="110">
        <f t="shared" si="0"/>
        <v>33340</v>
      </c>
      <c r="H36" s="75"/>
    </row>
    <row r="37" spans="1:11" x14ac:dyDescent="0.3">
      <c r="A37" s="133" t="s">
        <v>1408</v>
      </c>
      <c r="B37" s="97" t="s">
        <v>1414</v>
      </c>
      <c r="C37" s="49" t="s">
        <v>1416</v>
      </c>
      <c r="D37" s="42"/>
      <c r="E37" s="110">
        <v>8388</v>
      </c>
      <c r="F37" s="110"/>
      <c r="G37" s="110">
        <f t="shared" si="0"/>
        <v>24952</v>
      </c>
      <c r="H37" s="75"/>
    </row>
    <row r="38" spans="1:11" x14ac:dyDescent="0.3">
      <c r="A38" s="133" t="s">
        <v>1430</v>
      </c>
      <c r="B38" s="97" t="s">
        <v>1440</v>
      </c>
      <c r="C38" s="49" t="s">
        <v>636</v>
      </c>
      <c r="D38" s="42"/>
      <c r="E38" s="110">
        <v>1384</v>
      </c>
      <c r="F38" s="110"/>
      <c r="G38" s="110">
        <f t="shared" si="0"/>
        <v>23568</v>
      </c>
      <c r="H38" s="75"/>
    </row>
    <row r="39" spans="1:11" x14ac:dyDescent="0.3">
      <c r="A39" s="133" t="s">
        <v>1548</v>
      </c>
      <c r="B39" s="97" t="s">
        <v>1547</v>
      </c>
      <c r="C39" s="49" t="s">
        <v>1549</v>
      </c>
      <c r="D39" s="42"/>
      <c r="E39" s="110">
        <v>17602</v>
      </c>
      <c r="F39" s="110"/>
      <c r="G39" s="110">
        <f t="shared" si="0"/>
        <v>5966</v>
      </c>
      <c r="H39" s="75"/>
    </row>
    <row r="40" spans="1:11" x14ac:dyDescent="0.3">
      <c r="A40" s="133"/>
      <c r="B40" s="97" t="s">
        <v>1550</v>
      </c>
      <c r="C40" s="49" t="s">
        <v>842</v>
      </c>
      <c r="D40" s="42"/>
      <c r="E40" s="110">
        <v>2500</v>
      </c>
      <c r="F40" s="110"/>
      <c r="G40" s="110">
        <f t="shared" si="0"/>
        <v>3466</v>
      </c>
      <c r="H40" s="75"/>
    </row>
    <row r="41" spans="1:11" x14ac:dyDescent="0.3">
      <c r="A41" s="133" t="s">
        <v>1541</v>
      </c>
      <c r="B41" s="97"/>
      <c r="C41" s="49" t="s">
        <v>1573</v>
      </c>
      <c r="D41" s="42">
        <v>50000</v>
      </c>
      <c r="E41" s="110"/>
      <c r="F41" s="110"/>
      <c r="G41" s="110">
        <f>G40+D41</f>
        <v>53466</v>
      </c>
      <c r="H41" s="75"/>
    </row>
    <row r="42" spans="1:11" x14ac:dyDescent="0.3">
      <c r="A42" s="133" t="s">
        <v>1568</v>
      </c>
      <c r="B42" s="97" t="s">
        <v>1585</v>
      </c>
      <c r="C42" s="49" t="s">
        <v>1586</v>
      </c>
      <c r="D42" s="42"/>
      <c r="E42" s="110">
        <v>3668</v>
      </c>
      <c r="F42" s="110"/>
      <c r="G42" s="110">
        <f>G41-E42</f>
        <v>49798</v>
      </c>
      <c r="H42" s="75"/>
    </row>
    <row r="43" spans="1:11" x14ac:dyDescent="0.3">
      <c r="A43" s="133" t="s">
        <v>1722</v>
      </c>
      <c r="B43" s="97" t="s">
        <v>1723</v>
      </c>
      <c r="C43" s="49" t="s">
        <v>1721</v>
      </c>
      <c r="D43" s="42"/>
      <c r="E43" s="110">
        <v>2044</v>
      </c>
      <c r="F43" s="110"/>
      <c r="G43" s="110">
        <f>G42-E43</f>
        <v>47754</v>
      </c>
      <c r="H43" s="75"/>
    </row>
    <row r="44" spans="1:11" x14ac:dyDescent="0.3">
      <c r="A44" s="133" t="s">
        <v>1942</v>
      </c>
      <c r="B44" s="97" t="s">
        <v>1943</v>
      </c>
      <c r="C44" s="49" t="s">
        <v>1941</v>
      </c>
      <c r="D44" s="42"/>
      <c r="E44" s="110">
        <v>922</v>
      </c>
      <c r="F44" s="110"/>
      <c r="G44" s="110">
        <f>G43-E44</f>
        <v>46832</v>
      </c>
      <c r="H44" s="75"/>
      <c r="K44" s="1"/>
    </row>
    <row r="45" spans="1:11" x14ac:dyDescent="0.3">
      <c r="A45" s="133"/>
      <c r="B45" s="97" t="s">
        <v>1955</v>
      </c>
      <c r="C45" s="49" t="s">
        <v>1956</v>
      </c>
      <c r="D45" s="42"/>
      <c r="E45" s="110">
        <v>1180</v>
      </c>
      <c r="F45" s="110"/>
      <c r="G45" s="110">
        <f>G44-E45</f>
        <v>45652</v>
      </c>
      <c r="H45" s="75"/>
      <c r="K45" s="1"/>
    </row>
    <row r="46" spans="1:11" x14ac:dyDescent="0.3">
      <c r="A46" s="133"/>
      <c r="B46" s="97"/>
      <c r="C46" s="49" t="s">
        <v>2270</v>
      </c>
      <c r="D46" s="42"/>
      <c r="E46" s="110"/>
      <c r="F46" s="110"/>
      <c r="G46" s="110">
        <f>G45-E46-F46</f>
        <v>45652</v>
      </c>
      <c r="H46" s="75"/>
      <c r="I46" s="1">
        <v>1636</v>
      </c>
      <c r="K46" s="1"/>
    </row>
    <row r="47" spans="1:11" x14ac:dyDescent="0.3">
      <c r="A47" s="133" t="s">
        <v>2517</v>
      </c>
      <c r="B47" s="97" t="s">
        <v>2527</v>
      </c>
      <c r="C47" s="49" t="s">
        <v>2271</v>
      </c>
      <c r="D47" s="42"/>
      <c r="E47" s="110">
        <v>2720</v>
      </c>
      <c r="F47" s="110"/>
      <c r="G47" s="110">
        <f>G46-E47-F47</f>
        <v>42932</v>
      </c>
      <c r="H47" s="383" t="s">
        <v>2305</v>
      </c>
      <c r="I47" s="1"/>
    </row>
    <row r="48" spans="1:11" x14ac:dyDescent="0.3">
      <c r="A48" s="133" t="s">
        <v>2480</v>
      </c>
      <c r="B48" s="97" t="s">
        <v>2513</v>
      </c>
      <c r="C48" s="49" t="s">
        <v>2363</v>
      </c>
      <c r="D48" s="42"/>
      <c r="E48" s="110">
        <v>4944</v>
      </c>
      <c r="F48" s="110"/>
      <c r="G48" s="110">
        <f t="shared" ref="G48:G52" si="1">G47-E48-F48</f>
        <v>37988</v>
      </c>
      <c r="H48" s="383">
        <v>9264</v>
      </c>
      <c r="I48" s="1">
        <v>4320</v>
      </c>
    </row>
    <row r="49" spans="1:9" x14ac:dyDescent="0.3">
      <c r="A49" s="133" t="s">
        <v>2480</v>
      </c>
      <c r="B49" s="97" t="s">
        <v>2513</v>
      </c>
      <c r="C49" s="49" t="s">
        <v>2380</v>
      </c>
      <c r="D49" s="42"/>
      <c r="E49" s="110">
        <v>360</v>
      </c>
      <c r="F49" s="110"/>
      <c r="G49" s="110">
        <f t="shared" si="1"/>
        <v>37628</v>
      </c>
      <c r="H49" s="75"/>
      <c r="I49" s="1"/>
    </row>
    <row r="50" spans="1:9" x14ac:dyDescent="0.3">
      <c r="A50" s="133" t="s">
        <v>2403</v>
      </c>
      <c r="B50" s="97" t="s">
        <v>2447</v>
      </c>
      <c r="C50" s="49" t="s">
        <v>2270</v>
      </c>
      <c r="D50" s="42"/>
      <c r="E50" s="110">
        <v>1620</v>
      </c>
      <c r="F50" s="110"/>
      <c r="G50" s="110">
        <f t="shared" si="1"/>
        <v>36008</v>
      </c>
      <c r="H50" s="75"/>
    </row>
    <row r="51" spans="1:9" x14ac:dyDescent="0.3">
      <c r="A51" s="133" t="s">
        <v>2480</v>
      </c>
      <c r="B51" s="97" t="s">
        <v>2502</v>
      </c>
      <c r="C51" s="49" t="s">
        <v>2503</v>
      </c>
      <c r="D51" s="42"/>
      <c r="E51" s="110">
        <v>2584</v>
      </c>
      <c r="F51" s="110"/>
      <c r="G51" s="110">
        <f t="shared" si="1"/>
        <v>33424</v>
      </c>
      <c r="H51" s="75"/>
    </row>
    <row r="52" spans="1:9" x14ac:dyDescent="0.3">
      <c r="A52" s="133" t="s">
        <v>2716</v>
      </c>
      <c r="B52" s="97" t="s">
        <v>2717</v>
      </c>
      <c r="C52" s="49" t="s">
        <v>2669</v>
      </c>
      <c r="D52" s="42"/>
      <c r="E52" s="110">
        <v>2936</v>
      </c>
      <c r="F52" s="110"/>
      <c r="G52" s="110">
        <f t="shared" si="1"/>
        <v>30488</v>
      </c>
      <c r="H52" s="75"/>
      <c r="I52" s="23" t="s">
        <v>2668</v>
      </c>
    </row>
    <row r="53" spans="1:9" x14ac:dyDescent="0.3">
      <c r="A53" s="133"/>
      <c r="B53" s="97"/>
      <c r="C53" s="49"/>
      <c r="D53" s="42">
        <v>-24532</v>
      </c>
      <c r="E53" s="110"/>
      <c r="F53" s="110"/>
      <c r="G53" s="110">
        <f>G52+D53</f>
        <v>5956</v>
      </c>
      <c r="H53" s="75"/>
      <c r="I53" s="23"/>
    </row>
    <row r="54" spans="1:9" x14ac:dyDescent="0.3">
      <c r="A54" s="133"/>
      <c r="B54" s="97"/>
      <c r="C54" s="49"/>
      <c r="D54" s="42">
        <v>-5956</v>
      </c>
      <c r="E54" s="110"/>
      <c r="F54" s="110"/>
      <c r="G54" s="110">
        <f>G53+D54</f>
        <v>0</v>
      </c>
      <c r="H54" s="75"/>
    </row>
    <row r="55" spans="1:9" x14ac:dyDescent="0.3">
      <c r="A55" s="89"/>
      <c r="B55" s="90">
        <v>3</v>
      </c>
      <c r="C55" s="49" t="s">
        <v>293</v>
      </c>
      <c r="D55" s="42">
        <v>13400</v>
      </c>
      <c r="E55" s="73"/>
      <c r="F55" s="110"/>
      <c r="G55" s="110">
        <v>13400</v>
      </c>
      <c r="H55" s="75" t="s">
        <v>298</v>
      </c>
    </row>
    <row r="56" spans="1:9" x14ac:dyDescent="0.3">
      <c r="A56" s="108" t="s">
        <v>229</v>
      </c>
      <c r="B56" s="90" t="s">
        <v>230</v>
      </c>
      <c r="C56" s="49" t="s">
        <v>231</v>
      </c>
      <c r="D56" s="42"/>
      <c r="E56" s="73">
        <v>1000</v>
      </c>
      <c r="F56" s="110"/>
      <c r="G56" s="110">
        <f>G55-E56</f>
        <v>12400</v>
      </c>
      <c r="H56" s="75"/>
    </row>
    <row r="57" spans="1:9" x14ac:dyDescent="0.3">
      <c r="A57" s="89" t="s">
        <v>368</v>
      </c>
      <c r="B57" s="90" t="s">
        <v>369</v>
      </c>
      <c r="C57" s="49" t="s">
        <v>367</v>
      </c>
      <c r="D57" s="42"/>
      <c r="E57" s="73">
        <v>1000</v>
      </c>
      <c r="F57" s="110"/>
      <c r="G57" s="110">
        <f>G56-E57</f>
        <v>11400</v>
      </c>
      <c r="H57" s="75"/>
    </row>
    <row r="58" spans="1:9" x14ac:dyDescent="0.3">
      <c r="A58" s="89" t="s">
        <v>764</v>
      </c>
      <c r="B58" s="90" t="s">
        <v>765</v>
      </c>
      <c r="C58" s="49" t="s">
        <v>763</v>
      </c>
      <c r="D58" s="42"/>
      <c r="E58" s="73">
        <v>1000</v>
      </c>
      <c r="F58" s="110"/>
      <c r="G58" s="110">
        <f>G57-E58</f>
        <v>10400</v>
      </c>
      <c r="H58" s="75"/>
    </row>
    <row r="59" spans="1:9" x14ac:dyDescent="0.3">
      <c r="A59" s="89" t="s">
        <v>1336</v>
      </c>
      <c r="B59" s="90" t="s">
        <v>1343</v>
      </c>
      <c r="C59" s="49" t="s">
        <v>1342</v>
      </c>
      <c r="D59" s="42"/>
      <c r="E59" s="73">
        <v>1000</v>
      </c>
      <c r="F59" s="110"/>
      <c r="G59" s="110">
        <f>G58-E59</f>
        <v>9400</v>
      </c>
      <c r="H59" s="75"/>
    </row>
    <row r="60" spans="1:9" x14ac:dyDescent="0.3">
      <c r="A60" s="89" t="s">
        <v>1860</v>
      </c>
      <c r="B60" s="90" t="s">
        <v>1917</v>
      </c>
      <c r="C60" s="49" t="s">
        <v>1916</v>
      </c>
      <c r="D60" s="42"/>
      <c r="E60" s="73">
        <v>1200</v>
      </c>
      <c r="F60" s="110"/>
      <c r="G60" s="110">
        <f>G59-E60</f>
        <v>8200</v>
      </c>
      <c r="H60" s="75"/>
    </row>
    <row r="61" spans="1:9" x14ac:dyDescent="0.3">
      <c r="A61" s="89" t="s">
        <v>2221</v>
      </c>
      <c r="B61" s="90" t="s">
        <v>2233</v>
      </c>
      <c r="C61" s="49" t="s">
        <v>2234</v>
      </c>
      <c r="D61" s="42"/>
      <c r="E61" s="73">
        <v>1050</v>
      </c>
      <c r="F61" s="110"/>
      <c r="G61" s="110">
        <f>G60-E61-F61</f>
        <v>7150</v>
      </c>
      <c r="H61" s="75"/>
    </row>
    <row r="62" spans="1:9" x14ac:dyDescent="0.3">
      <c r="A62" s="89" t="s">
        <v>2221</v>
      </c>
      <c r="B62" s="90" t="s">
        <v>2232</v>
      </c>
      <c r="C62" s="49" t="s">
        <v>1919</v>
      </c>
      <c r="D62" s="42"/>
      <c r="E62" s="73">
        <v>3000</v>
      </c>
      <c r="F62" s="110"/>
      <c r="G62" s="110">
        <f>G61-E62-F62</f>
        <v>4150</v>
      </c>
      <c r="H62" s="75"/>
    </row>
    <row r="63" spans="1:9" x14ac:dyDescent="0.3">
      <c r="A63" s="89" t="s">
        <v>2480</v>
      </c>
      <c r="B63" s="90" t="s">
        <v>2236</v>
      </c>
      <c r="C63" s="49" t="s">
        <v>2235</v>
      </c>
      <c r="D63" s="42"/>
      <c r="E63" s="73">
        <v>1050</v>
      </c>
      <c r="F63" s="110"/>
      <c r="G63" s="110">
        <f>G62-E63-F63</f>
        <v>3100</v>
      </c>
      <c r="H63" s="384" t="s">
        <v>2306</v>
      </c>
    </row>
    <row r="64" spans="1:9" x14ac:dyDescent="0.3">
      <c r="A64" s="89"/>
      <c r="B64" s="90"/>
      <c r="C64" s="49"/>
      <c r="D64" s="42">
        <v>-3100</v>
      </c>
      <c r="E64" s="73"/>
      <c r="F64" s="110"/>
      <c r="G64" s="110">
        <f>G63+D64</f>
        <v>0</v>
      </c>
      <c r="H64" s="75"/>
    </row>
    <row r="65" spans="1:10" x14ac:dyDescent="0.3">
      <c r="A65" s="89"/>
      <c r="B65" s="90">
        <v>4</v>
      </c>
      <c r="C65" s="49" t="s">
        <v>294</v>
      </c>
      <c r="D65" s="42">
        <v>119255</v>
      </c>
      <c r="E65" s="73"/>
      <c r="F65" s="110"/>
      <c r="G65" s="110">
        <v>119255</v>
      </c>
      <c r="H65" s="75" t="s">
        <v>297</v>
      </c>
      <c r="I65" s="23" t="s">
        <v>261</v>
      </c>
    </row>
    <row r="66" spans="1:10" x14ac:dyDescent="0.3">
      <c r="A66" s="108" t="s">
        <v>254</v>
      </c>
      <c r="B66" s="90" t="s">
        <v>256</v>
      </c>
      <c r="C66" s="49" t="s">
        <v>262</v>
      </c>
      <c r="D66" s="256"/>
      <c r="E66" s="134">
        <v>2475</v>
      </c>
      <c r="F66" s="110"/>
      <c r="G66" s="110">
        <f t="shared" ref="G66:G76" si="2">G65-E66</f>
        <v>116780</v>
      </c>
      <c r="H66" s="75"/>
    </row>
    <row r="67" spans="1:10" x14ac:dyDescent="0.3">
      <c r="A67" s="108" t="s">
        <v>275</v>
      </c>
      <c r="B67" s="90" t="s">
        <v>274</v>
      </c>
      <c r="C67" s="49" t="s">
        <v>276</v>
      </c>
      <c r="D67" s="42"/>
      <c r="E67" s="110">
        <v>26650</v>
      </c>
      <c r="F67" s="110"/>
      <c r="G67" s="110">
        <f t="shared" si="2"/>
        <v>90130</v>
      </c>
      <c r="H67" s="75"/>
    </row>
    <row r="68" spans="1:10" x14ac:dyDescent="0.3">
      <c r="A68" s="108" t="s">
        <v>339</v>
      </c>
      <c r="B68" s="90" t="s">
        <v>341</v>
      </c>
      <c r="C68" s="49" t="s">
        <v>342</v>
      </c>
      <c r="D68" s="256"/>
      <c r="E68" s="134">
        <v>1500</v>
      </c>
      <c r="F68" s="110"/>
      <c r="G68" s="110">
        <f t="shared" si="2"/>
        <v>88630</v>
      </c>
      <c r="H68" s="75"/>
    </row>
    <row r="69" spans="1:10" x14ac:dyDescent="0.3">
      <c r="A69" s="108"/>
      <c r="B69" s="90" t="s">
        <v>366</v>
      </c>
      <c r="C69" s="49" t="s">
        <v>365</v>
      </c>
      <c r="D69" s="256"/>
      <c r="E69" s="134">
        <v>1025</v>
      </c>
      <c r="F69" s="110"/>
      <c r="G69" s="110">
        <f t="shared" si="2"/>
        <v>87605</v>
      </c>
      <c r="H69" s="75"/>
    </row>
    <row r="70" spans="1:10" x14ac:dyDescent="0.3">
      <c r="A70" s="108" t="s">
        <v>574</v>
      </c>
      <c r="B70" s="90" t="s">
        <v>578</v>
      </c>
      <c r="C70" s="49" t="s">
        <v>262</v>
      </c>
      <c r="D70" s="256"/>
      <c r="E70" s="134">
        <v>1850</v>
      </c>
      <c r="F70" s="110"/>
      <c r="G70" s="110">
        <f t="shared" si="2"/>
        <v>85755</v>
      </c>
      <c r="H70" s="75"/>
    </row>
    <row r="71" spans="1:10" x14ac:dyDescent="0.3">
      <c r="A71" s="108" t="s">
        <v>712</v>
      </c>
      <c r="B71" s="90" t="s">
        <v>715</v>
      </c>
      <c r="C71" s="49" t="s">
        <v>262</v>
      </c>
      <c r="D71" s="256"/>
      <c r="E71" s="134">
        <v>2525</v>
      </c>
      <c r="F71" s="110"/>
      <c r="G71" s="110">
        <f t="shared" si="2"/>
        <v>83230</v>
      </c>
      <c r="H71" s="75"/>
    </row>
    <row r="72" spans="1:10" x14ac:dyDescent="0.3">
      <c r="A72" s="108" t="s">
        <v>742</v>
      </c>
      <c r="B72" s="90" t="s">
        <v>749</v>
      </c>
      <c r="C72" s="49" t="s">
        <v>276</v>
      </c>
      <c r="D72" s="256"/>
      <c r="E72" s="134">
        <v>26650</v>
      </c>
      <c r="F72" s="110"/>
      <c r="G72" s="110">
        <f t="shared" si="2"/>
        <v>56580</v>
      </c>
      <c r="H72" s="75"/>
    </row>
    <row r="73" spans="1:10" x14ac:dyDescent="0.3">
      <c r="A73" s="108" t="s">
        <v>816</v>
      </c>
      <c r="B73" s="90" t="s">
        <v>828</v>
      </c>
      <c r="C73" s="49" t="s">
        <v>829</v>
      </c>
      <c r="D73" s="256"/>
      <c r="E73" s="134">
        <v>1640</v>
      </c>
      <c r="F73" s="110"/>
      <c r="G73" s="110">
        <f t="shared" si="2"/>
        <v>54940</v>
      </c>
      <c r="H73" s="75"/>
    </row>
    <row r="74" spans="1:10" x14ac:dyDescent="0.3">
      <c r="A74" s="108" t="s">
        <v>948</v>
      </c>
      <c r="B74" s="90" t="s">
        <v>949</v>
      </c>
      <c r="C74" s="49" t="s">
        <v>276</v>
      </c>
      <c r="D74" s="256"/>
      <c r="E74" s="134">
        <v>26650</v>
      </c>
      <c r="F74" s="110"/>
      <c r="G74" s="110">
        <f t="shared" si="2"/>
        <v>28290</v>
      </c>
      <c r="H74" s="75"/>
    </row>
    <row r="75" spans="1:10" x14ac:dyDescent="0.3">
      <c r="A75" s="257">
        <v>22719</v>
      </c>
      <c r="B75" s="90" t="s">
        <v>1033</v>
      </c>
      <c r="C75" s="49" t="s">
        <v>262</v>
      </c>
      <c r="D75" s="256"/>
      <c r="E75" s="134">
        <v>2125</v>
      </c>
      <c r="F75" s="110"/>
      <c r="G75" s="110">
        <f t="shared" si="2"/>
        <v>26165</v>
      </c>
      <c r="H75" s="75"/>
    </row>
    <row r="76" spans="1:10" x14ac:dyDescent="0.3">
      <c r="A76" s="257" t="s">
        <v>1202</v>
      </c>
      <c r="B76" s="90" t="s">
        <v>1243</v>
      </c>
      <c r="C76" s="49" t="s">
        <v>1244</v>
      </c>
      <c r="D76" s="256"/>
      <c r="E76" s="134">
        <v>2900</v>
      </c>
      <c r="F76" s="110"/>
      <c r="G76" s="110">
        <f t="shared" si="2"/>
        <v>23265</v>
      </c>
      <c r="H76" s="75"/>
    </row>
    <row r="77" spans="1:10" x14ac:dyDescent="0.3">
      <c r="A77" s="108"/>
      <c r="B77" s="90"/>
      <c r="C77" s="49" t="s">
        <v>1252</v>
      </c>
      <c r="D77" s="256">
        <v>5310</v>
      </c>
      <c r="E77" s="134"/>
      <c r="F77" s="110"/>
      <c r="G77" s="110">
        <f>G76+D77-F77</f>
        <v>28575</v>
      </c>
      <c r="H77" s="75"/>
      <c r="J77" s="1">
        <v>126065</v>
      </c>
    </row>
    <row r="78" spans="1:10" x14ac:dyDescent="0.3">
      <c r="A78" s="108" t="s">
        <v>1250</v>
      </c>
      <c r="B78" s="90" t="s">
        <v>1251</v>
      </c>
      <c r="C78" s="49" t="s">
        <v>1253</v>
      </c>
      <c r="D78" s="256"/>
      <c r="E78" s="134">
        <v>26650</v>
      </c>
      <c r="F78" s="110"/>
      <c r="G78" s="110">
        <f>G77-E78</f>
        <v>1925</v>
      </c>
      <c r="H78" s="75"/>
      <c r="J78" s="1">
        <v>203605</v>
      </c>
    </row>
    <row r="79" spans="1:10" x14ac:dyDescent="0.3">
      <c r="A79" s="108" t="s">
        <v>1320</v>
      </c>
      <c r="B79" s="90" t="s">
        <v>1580</v>
      </c>
      <c r="C79" s="49" t="s">
        <v>1362</v>
      </c>
      <c r="D79" s="256"/>
      <c r="E79" s="134">
        <v>1925</v>
      </c>
      <c r="F79" s="110"/>
      <c r="G79" s="110">
        <f>G78-E79</f>
        <v>0</v>
      </c>
      <c r="H79" s="75"/>
      <c r="J79" s="1">
        <f>J78-J77</f>
        <v>77540</v>
      </c>
    </row>
    <row r="80" spans="1:10" x14ac:dyDescent="0.3">
      <c r="A80" s="133" t="s">
        <v>1541</v>
      </c>
      <c r="B80" s="97"/>
      <c r="C80" s="49" t="s">
        <v>1573</v>
      </c>
      <c r="D80" s="256">
        <v>1500</v>
      </c>
      <c r="E80" s="134"/>
      <c r="F80" s="110"/>
      <c r="G80" s="110">
        <f>G79+D80</f>
        <v>1500</v>
      </c>
      <c r="H80" s="75"/>
    </row>
    <row r="81" spans="1:8" x14ac:dyDescent="0.3">
      <c r="A81" s="133" t="s">
        <v>1640</v>
      </c>
      <c r="B81" s="97"/>
      <c r="C81" s="49" t="s">
        <v>1639</v>
      </c>
      <c r="D81" s="256">
        <v>77540</v>
      </c>
      <c r="E81" s="134"/>
      <c r="F81" s="110"/>
      <c r="G81" s="110">
        <f>G80+D81</f>
        <v>79040</v>
      </c>
      <c r="H81" s="75"/>
    </row>
    <row r="82" spans="1:8" x14ac:dyDescent="0.3">
      <c r="A82" s="108" t="s">
        <v>1581</v>
      </c>
      <c r="B82" s="90" t="s">
        <v>1582</v>
      </c>
      <c r="C82" s="49" t="s">
        <v>1362</v>
      </c>
      <c r="D82" s="256"/>
      <c r="E82" s="134">
        <v>3025</v>
      </c>
      <c r="F82" s="110"/>
      <c r="G82" s="110">
        <f>G81-E82</f>
        <v>76015</v>
      </c>
      <c r="H82" s="75"/>
    </row>
    <row r="83" spans="1:8" x14ac:dyDescent="0.3">
      <c r="A83" s="108"/>
      <c r="B83" s="90" t="s">
        <v>1583</v>
      </c>
      <c r="C83" s="49" t="s">
        <v>1748</v>
      </c>
      <c r="D83" s="256"/>
      <c r="E83" s="134">
        <v>26650</v>
      </c>
      <c r="F83" s="110"/>
      <c r="G83" s="110">
        <f>G82-E83</f>
        <v>49365</v>
      </c>
      <c r="H83" s="75"/>
    </row>
    <row r="84" spans="1:8" x14ac:dyDescent="0.3">
      <c r="A84" s="108" t="s">
        <v>1966</v>
      </c>
      <c r="B84" s="90" t="s">
        <v>2002</v>
      </c>
      <c r="C84" s="49" t="s">
        <v>1968</v>
      </c>
      <c r="D84" s="349"/>
      <c r="E84" s="136">
        <v>26650</v>
      </c>
      <c r="F84" s="283"/>
      <c r="G84" s="283">
        <f>G83-E84</f>
        <v>22715</v>
      </c>
      <c r="H84" s="192"/>
    </row>
    <row r="85" spans="1:8" x14ac:dyDescent="0.3">
      <c r="A85" s="108" t="s">
        <v>2083</v>
      </c>
      <c r="B85" s="90" t="s">
        <v>2092</v>
      </c>
      <c r="C85" s="49" t="s">
        <v>2029</v>
      </c>
      <c r="D85" s="289"/>
      <c r="E85" s="239">
        <v>1575</v>
      </c>
      <c r="F85" s="239"/>
      <c r="G85" s="239">
        <f>G84-E85-F85</f>
        <v>21140</v>
      </c>
      <c r="H85" s="117"/>
    </row>
    <row r="86" spans="1:8" x14ac:dyDescent="0.3">
      <c r="A86" s="108"/>
      <c r="B86" s="90" t="s">
        <v>2091</v>
      </c>
      <c r="C86" s="49" t="s">
        <v>2027</v>
      </c>
      <c r="D86" s="289"/>
      <c r="E86" s="239">
        <v>250</v>
      </c>
      <c r="F86" s="239"/>
      <c r="G86" s="239">
        <f t="shared" ref="G86:G91" si="3">G85-E86-F86</f>
        <v>20890</v>
      </c>
      <c r="H86" s="117"/>
    </row>
    <row r="87" spans="1:8" x14ac:dyDescent="0.3">
      <c r="A87" s="108"/>
      <c r="B87" s="90" t="s">
        <v>2091</v>
      </c>
      <c r="C87" s="49" t="s">
        <v>2028</v>
      </c>
      <c r="D87" s="289"/>
      <c r="E87" s="239">
        <v>625</v>
      </c>
      <c r="F87" s="239"/>
      <c r="G87" s="239">
        <f t="shared" si="3"/>
        <v>20265</v>
      </c>
      <c r="H87" s="117"/>
    </row>
    <row r="88" spans="1:8" x14ac:dyDescent="0.3">
      <c r="A88" s="108"/>
      <c r="B88" s="90" t="s">
        <v>2092</v>
      </c>
      <c r="C88" s="49" t="s">
        <v>2030</v>
      </c>
      <c r="D88" s="289"/>
      <c r="E88" s="239">
        <v>1400</v>
      </c>
      <c r="F88" s="239"/>
      <c r="G88" s="239">
        <f t="shared" si="3"/>
        <v>18865</v>
      </c>
      <c r="H88" s="117"/>
    </row>
    <row r="89" spans="1:8" x14ac:dyDescent="0.3">
      <c r="A89" s="108" t="s">
        <v>2420</v>
      </c>
      <c r="B89" s="90" t="s">
        <v>2442</v>
      </c>
      <c r="C89" s="49" t="s">
        <v>2268</v>
      </c>
      <c r="D89" s="289"/>
      <c r="E89" s="239">
        <v>3125</v>
      </c>
      <c r="F89" s="239"/>
      <c r="G89" s="239">
        <f t="shared" si="3"/>
        <v>15740</v>
      </c>
      <c r="H89" s="383" t="s">
        <v>2305</v>
      </c>
    </row>
    <row r="90" spans="1:8" x14ac:dyDescent="0.3">
      <c r="A90" s="108" t="s">
        <v>2480</v>
      </c>
      <c r="B90" s="90" t="s">
        <v>2476</v>
      </c>
      <c r="C90" s="49" t="s">
        <v>2379</v>
      </c>
      <c r="D90" s="289"/>
      <c r="E90" s="239">
        <v>825</v>
      </c>
      <c r="F90" s="239"/>
      <c r="G90" s="239">
        <f t="shared" si="3"/>
        <v>14915</v>
      </c>
      <c r="H90" s="399"/>
    </row>
    <row r="91" spans="1:8" x14ac:dyDescent="0.3">
      <c r="A91" s="108" t="s">
        <v>2394</v>
      </c>
      <c r="B91" s="90" t="s">
        <v>2410</v>
      </c>
      <c r="C91" s="218" t="s">
        <v>2361</v>
      </c>
      <c r="D91" s="289"/>
      <c r="E91" s="239">
        <v>2000</v>
      </c>
      <c r="F91" s="239"/>
      <c r="G91" s="239">
        <f t="shared" si="3"/>
        <v>12915</v>
      </c>
      <c r="H91" s="399"/>
    </row>
    <row r="92" spans="1:8" x14ac:dyDescent="0.3">
      <c r="A92" s="108"/>
      <c r="B92" s="90"/>
      <c r="C92" s="49"/>
      <c r="D92" s="289">
        <v>-12915</v>
      </c>
      <c r="E92" s="239"/>
      <c r="F92" s="239"/>
      <c r="G92" s="239">
        <f>G91+D92</f>
        <v>0</v>
      </c>
      <c r="H92" s="399"/>
    </row>
    <row r="93" spans="1:8" x14ac:dyDescent="0.3">
      <c r="A93" s="108"/>
      <c r="B93" s="90"/>
      <c r="C93" s="49"/>
      <c r="D93" s="289"/>
      <c r="E93" s="239"/>
      <c r="F93" s="239"/>
      <c r="G93" s="239"/>
      <c r="H93" s="117"/>
    </row>
    <row r="94" spans="1:8" x14ac:dyDescent="0.3">
      <c r="A94" s="89"/>
      <c r="B94" s="90">
        <v>5</v>
      </c>
      <c r="C94" s="49" t="s">
        <v>295</v>
      </c>
      <c r="D94" s="42">
        <v>2990</v>
      </c>
      <c r="E94" s="73"/>
      <c r="F94" s="110"/>
      <c r="G94" s="110">
        <v>2990</v>
      </c>
      <c r="H94" s="75" t="s">
        <v>296</v>
      </c>
    </row>
    <row r="95" spans="1:8" x14ac:dyDescent="0.3">
      <c r="A95" s="89" t="s">
        <v>615</v>
      </c>
      <c r="B95" s="90" t="s">
        <v>616</v>
      </c>
      <c r="C95" s="49" t="s">
        <v>577</v>
      </c>
      <c r="D95" s="42"/>
      <c r="E95" s="110">
        <v>2990</v>
      </c>
      <c r="F95" s="110"/>
      <c r="G95" s="110">
        <f>G94-E95</f>
        <v>0</v>
      </c>
      <c r="H95" s="75"/>
    </row>
    <row r="96" spans="1:8" x14ac:dyDescent="0.3">
      <c r="A96" s="89"/>
      <c r="B96" s="90"/>
      <c r="C96" s="49"/>
      <c r="D96" s="42"/>
      <c r="E96" s="73"/>
      <c r="F96" s="110"/>
      <c r="G96" s="110"/>
      <c r="H96" s="75"/>
    </row>
    <row r="97" spans="1:10" x14ac:dyDescent="0.3">
      <c r="A97" s="89"/>
      <c r="B97" s="90">
        <v>6</v>
      </c>
      <c r="C97" s="49" t="s">
        <v>322</v>
      </c>
      <c r="D97" s="42">
        <v>21250</v>
      </c>
      <c r="E97" s="73"/>
      <c r="F97" s="110"/>
      <c r="G97" s="110">
        <f>D97</f>
        <v>21250</v>
      </c>
      <c r="H97" s="75" t="s">
        <v>323</v>
      </c>
    </row>
    <row r="98" spans="1:10" x14ac:dyDescent="0.3">
      <c r="A98" s="89" t="s">
        <v>832</v>
      </c>
      <c r="B98" s="90" t="s">
        <v>835</v>
      </c>
      <c r="C98" s="49" t="s">
        <v>836</v>
      </c>
      <c r="D98" s="42"/>
      <c r="E98" s="110">
        <v>15000</v>
      </c>
      <c r="F98" s="110"/>
      <c r="G98" s="110">
        <f>G97-E98</f>
        <v>6250</v>
      </c>
      <c r="H98" s="75"/>
    </row>
    <row r="99" spans="1:10" x14ac:dyDescent="0.3">
      <c r="A99" s="89" t="s">
        <v>1019</v>
      </c>
      <c r="B99" s="90" t="s">
        <v>1023</v>
      </c>
      <c r="C99" s="49" t="s">
        <v>1024</v>
      </c>
      <c r="D99" s="42"/>
      <c r="E99" s="73">
        <v>1250</v>
      </c>
      <c r="F99" s="110"/>
      <c r="G99" s="110">
        <f>G98-E99</f>
        <v>5000</v>
      </c>
      <c r="H99" s="75"/>
    </row>
    <row r="100" spans="1:10" x14ac:dyDescent="0.3">
      <c r="A100" s="89" t="s">
        <v>1173</v>
      </c>
      <c r="B100" s="90" t="s">
        <v>1174</v>
      </c>
      <c r="C100" s="49" t="s">
        <v>1175</v>
      </c>
      <c r="D100" s="42"/>
      <c r="E100" s="73">
        <v>1795</v>
      </c>
      <c r="F100" s="110"/>
      <c r="G100" s="110">
        <f>G99-E100</f>
        <v>3205</v>
      </c>
      <c r="H100" s="75"/>
    </row>
    <row r="101" spans="1:10" x14ac:dyDescent="0.3">
      <c r="A101" s="89" t="s">
        <v>1381</v>
      </c>
      <c r="B101" s="90" t="s">
        <v>1389</v>
      </c>
      <c r="C101" s="49" t="s">
        <v>1388</v>
      </c>
      <c r="D101" s="42"/>
      <c r="E101" s="73">
        <v>1050</v>
      </c>
      <c r="F101" s="110"/>
      <c r="G101" s="110">
        <f>G100-E101</f>
        <v>2155</v>
      </c>
      <c r="H101" s="75"/>
    </row>
    <row r="102" spans="1:10" x14ac:dyDescent="0.3">
      <c r="A102" s="89"/>
      <c r="B102" s="90"/>
      <c r="C102" s="49" t="s">
        <v>1483</v>
      </c>
      <c r="D102" s="42">
        <v>6845</v>
      </c>
      <c r="E102" s="73"/>
      <c r="F102" s="110"/>
      <c r="G102" s="110">
        <f>G101+D102</f>
        <v>9000</v>
      </c>
      <c r="H102" s="75"/>
      <c r="J102" s="1">
        <v>48500</v>
      </c>
    </row>
    <row r="103" spans="1:10" x14ac:dyDescent="0.3">
      <c r="A103" s="89" t="s">
        <v>1481</v>
      </c>
      <c r="B103" s="90" t="s">
        <v>1490</v>
      </c>
      <c r="C103" s="49" t="s">
        <v>1491</v>
      </c>
      <c r="D103" s="42"/>
      <c r="E103" s="73">
        <v>9000</v>
      </c>
      <c r="F103" s="110"/>
      <c r="G103" s="110">
        <f>G102-E103</f>
        <v>0</v>
      </c>
      <c r="H103" s="75"/>
      <c r="J103" s="1">
        <v>28095</v>
      </c>
    </row>
    <row r="104" spans="1:10" x14ac:dyDescent="0.3">
      <c r="A104" s="89" t="s">
        <v>1568</v>
      </c>
      <c r="B104" s="90"/>
      <c r="C104" s="49" t="s">
        <v>1639</v>
      </c>
      <c r="D104" s="42">
        <v>20405</v>
      </c>
      <c r="E104" s="73"/>
      <c r="F104" s="110"/>
      <c r="G104" s="110">
        <f>G103+D104</f>
        <v>20405</v>
      </c>
      <c r="H104" s="75"/>
      <c r="J104" s="1">
        <f>J102-J103</f>
        <v>20405</v>
      </c>
    </row>
    <row r="105" spans="1:10" x14ac:dyDescent="0.3">
      <c r="A105" s="89" t="s">
        <v>1743</v>
      </c>
      <c r="B105" s="90" t="s">
        <v>1814</v>
      </c>
      <c r="C105" s="49" t="s">
        <v>1815</v>
      </c>
      <c r="D105" s="42"/>
      <c r="E105" s="73">
        <v>780</v>
      </c>
      <c r="F105" s="110"/>
      <c r="G105" s="110">
        <f>G104-E105</f>
        <v>19625</v>
      </c>
      <c r="H105" s="75"/>
    </row>
    <row r="106" spans="1:10" x14ac:dyDescent="0.3">
      <c r="A106" s="89" t="s">
        <v>2221</v>
      </c>
      <c r="B106" s="90" t="s">
        <v>2246</v>
      </c>
      <c r="C106" s="49" t="s">
        <v>1921</v>
      </c>
      <c r="D106" s="42"/>
      <c r="E106" s="73">
        <v>600</v>
      </c>
      <c r="F106" s="110"/>
      <c r="G106" s="110">
        <f>G105-E106-F106</f>
        <v>19025</v>
      </c>
      <c r="H106" s="75"/>
    </row>
    <row r="107" spans="1:10" x14ac:dyDescent="0.3">
      <c r="A107" s="89"/>
      <c r="B107" s="90"/>
      <c r="C107" s="49"/>
      <c r="D107" s="42"/>
      <c r="E107" s="73"/>
      <c r="F107" s="110"/>
      <c r="G107" s="110">
        <f t="shared" ref="G107:G108" si="4">G106-E107-F107</f>
        <v>19025</v>
      </c>
      <c r="H107" s="75"/>
    </row>
    <row r="108" spans="1:10" x14ac:dyDescent="0.3">
      <c r="A108" s="89"/>
      <c r="B108" s="90"/>
      <c r="C108" s="49" t="s">
        <v>2903</v>
      </c>
      <c r="D108" s="42"/>
      <c r="E108" s="73"/>
      <c r="F108" s="110">
        <v>12000</v>
      </c>
      <c r="G108" s="110">
        <f t="shared" si="4"/>
        <v>7025</v>
      </c>
      <c r="H108" s="384" t="s">
        <v>2306</v>
      </c>
    </row>
    <row r="109" spans="1:10" x14ac:dyDescent="0.3">
      <c r="A109" s="89"/>
      <c r="B109" s="90"/>
      <c r="C109" s="49"/>
      <c r="D109" s="42">
        <v>-7025</v>
      </c>
      <c r="E109" s="73"/>
      <c r="F109" s="110"/>
      <c r="G109" s="110">
        <f>G108+D109</f>
        <v>0</v>
      </c>
      <c r="H109" s="384"/>
    </row>
    <row r="110" spans="1:10" x14ac:dyDescent="0.3">
      <c r="A110" s="89"/>
      <c r="B110" s="90"/>
      <c r="C110" s="49"/>
      <c r="D110" s="42"/>
      <c r="E110" s="73"/>
      <c r="F110" s="110"/>
      <c r="G110" s="110"/>
      <c r="H110" s="75"/>
    </row>
    <row r="111" spans="1:10" x14ac:dyDescent="0.3">
      <c r="A111" s="89"/>
      <c r="B111" s="90">
        <v>7</v>
      </c>
      <c r="C111" s="214" t="s">
        <v>355</v>
      </c>
      <c r="D111" s="42">
        <v>8250</v>
      </c>
      <c r="E111" s="73"/>
      <c r="F111" s="110"/>
      <c r="G111" s="110">
        <f>D111</f>
        <v>8250</v>
      </c>
      <c r="H111" s="75" t="s">
        <v>356</v>
      </c>
    </row>
    <row r="112" spans="1:10" x14ac:dyDescent="0.3">
      <c r="A112" s="89" t="s">
        <v>669</v>
      </c>
      <c r="B112" s="90" t="s">
        <v>670</v>
      </c>
      <c r="C112" s="49" t="s">
        <v>672</v>
      </c>
      <c r="D112" s="42"/>
      <c r="E112" s="73">
        <v>7100</v>
      </c>
      <c r="F112" s="110"/>
      <c r="G112" s="110">
        <f>G111-E112</f>
        <v>1150</v>
      </c>
      <c r="H112" s="75"/>
    </row>
    <row r="113" spans="1:10" x14ac:dyDescent="0.3">
      <c r="A113" s="89"/>
      <c r="B113" s="90" t="s">
        <v>671</v>
      </c>
      <c r="C113" s="49" t="s">
        <v>673</v>
      </c>
      <c r="D113" s="42"/>
      <c r="E113" s="73">
        <v>300</v>
      </c>
      <c r="F113" s="110"/>
      <c r="G113" s="110">
        <f>G112-E113</f>
        <v>850</v>
      </c>
      <c r="H113" s="384" t="s">
        <v>2306</v>
      </c>
    </row>
    <row r="114" spans="1:10" x14ac:dyDescent="0.3">
      <c r="A114" s="89"/>
      <c r="B114" s="90"/>
      <c r="C114" s="49"/>
      <c r="D114" s="42">
        <v>-850</v>
      </c>
      <c r="E114" s="73"/>
      <c r="F114" s="110"/>
      <c r="G114" s="110">
        <f>G113+D114</f>
        <v>0</v>
      </c>
      <c r="H114" s="75"/>
    </row>
    <row r="115" spans="1:10" x14ac:dyDescent="0.3">
      <c r="A115" s="89"/>
      <c r="B115" s="90"/>
      <c r="C115" s="49"/>
      <c r="D115" s="42"/>
      <c r="E115" s="73"/>
      <c r="F115" s="110"/>
      <c r="G115" s="110"/>
      <c r="H115" s="75"/>
    </row>
    <row r="116" spans="1:10" x14ac:dyDescent="0.3">
      <c r="A116" s="89"/>
      <c r="B116" s="90">
        <v>8</v>
      </c>
      <c r="C116" s="49" t="s">
        <v>847</v>
      </c>
      <c r="D116" s="42">
        <v>9050</v>
      </c>
      <c r="E116" s="73"/>
      <c r="F116" s="110"/>
      <c r="G116" s="110">
        <v>9050</v>
      </c>
      <c r="H116" s="75" t="s">
        <v>131</v>
      </c>
    </row>
    <row r="117" spans="1:10" x14ac:dyDescent="0.3">
      <c r="A117" s="89" t="s">
        <v>275</v>
      </c>
      <c r="B117" s="90" t="s">
        <v>308</v>
      </c>
      <c r="C117" s="49" t="s">
        <v>307</v>
      </c>
      <c r="D117" s="92"/>
      <c r="E117" s="91">
        <v>3900</v>
      </c>
      <c r="F117" s="110"/>
      <c r="G117" s="110">
        <f>G116-E117</f>
        <v>5150</v>
      </c>
      <c r="H117" s="75"/>
    </row>
    <row r="118" spans="1:10" x14ac:dyDescent="0.3">
      <c r="A118" s="89" t="s">
        <v>339</v>
      </c>
      <c r="B118" s="90" t="s">
        <v>338</v>
      </c>
      <c r="C118" s="49" t="s">
        <v>337</v>
      </c>
      <c r="D118" s="92"/>
      <c r="E118" s="91">
        <v>5150</v>
      </c>
      <c r="F118" s="110"/>
      <c r="G118" s="110">
        <f>G117-E118</f>
        <v>0</v>
      </c>
      <c r="H118" s="75"/>
    </row>
    <row r="119" spans="1:10" x14ac:dyDescent="0.3">
      <c r="A119" s="238"/>
      <c r="B119" s="228"/>
      <c r="C119" s="49"/>
      <c r="D119" s="42"/>
      <c r="E119" s="73"/>
      <c r="F119" s="110"/>
      <c r="G119" s="110"/>
      <c r="H119" s="75"/>
    </row>
    <row r="120" spans="1:10" x14ac:dyDescent="0.3">
      <c r="A120" s="108"/>
      <c r="B120" s="70">
        <v>9</v>
      </c>
      <c r="C120" s="49" t="s">
        <v>303</v>
      </c>
      <c r="D120" s="256">
        <v>19235</v>
      </c>
      <c r="E120" s="73"/>
      <c r="F120" s="73"/>
      <c r="G120" s="110">
        <f>D120</f>
        <v>19235</v>
      </c>
      <c r="H120" s="75" t="s">
        <v>304</v>
      </c>
      <c r="I120" s="251" t="s">
        <v>1121</v>
      </c>
    </row>
    <row r="121" spans="1:10" x14ac:dyDescent="0.3">
      <c r="A121" s="108" t="s">
        <v>339</v>
      </c>
      <c r="B121" s="70" t="s">
        <v>340</v>
      </c>
      <c r="C121" s="49" t="s">
        <v>576</v>
      </c>
      <c r="D121" s="42"/>
      <c r="E121" s="110">
        <v>1225</v>
      </c>
      <c r="F121" s="73"/>
      <c r="G121" s="110">
        <f>G120-E121</f>
        <v>18010</v>
      </c>
      <c r="H121" s="111"/>
      <c r="I121" s="23" t="s">
        <v>1466</v>
      </c>
      <c r="J121" s="1" t="s">
        <v>1641</v>
      </c>
    </row>
    <row r="122" spans="1:10" x14ac:dyDescent="0.3">
      <c r="A122" s="108" t="s">
        <v>574</v>
      </c>
      <c r="B122" s="70" t="s">
        <v>575</v>
      </c>
      <c r="C122" s="49" t="s">
        <v>577</v>
      </c>
      <c r="D122" s="42"/>
      <c r="E122" s="110">
        <v>2215</v>
      </c>
      <c r="F122" s="73"/>
      <c r="G122" s="110">
        <f>G121-E122</f>
        <v>15795</v>
      </c>
      <c r="H122" s="111"/>
    </row>
    <row r="123" spans="1:10" x14ac:dyDescent="0.3">
      <c r="A123" s="108" t="s">
        <v>1106</v>
      </c>
      <c r="B123" s="70" t="s">
        <v>1108</v>
      </c>
      <c r="C123" s="49" t="s">
        <v>576</v>
      </c>
      <c r="D123" s="42"/>
      <c r="E123" s="110">
        <v>2470</v>
      </c>
      <c r="F123" s="73"/>
      <c r="G123" s="110">
        <f>G122-E123</f>
        <v>13325</v>
      </c>
      <c r="H123" s="111"/>
    </row>
    <row r="124" spans="1:10" x14ac:dyDescent="0.3">
      <c r="A124" s="108" t="s">
        <v>1443</v>
      </c>
      <c r="B124" s="70" t="s">
        <v>1468</v>
      </c>
      <c r="C124" s="49" t="s">
        <v>1467</v>
      </c>
      <c r="D124" s="42"/>
      <c r="E124" s="110">
        <v>2525</v>
      </c>
      <c r="F124" s="73"/>
      <c r="G124" s="110">
        <f>G123-E124</f>
        <v>10800</v>
      </c>
      <c r="H124" s="111"/>
    </row>
    <row r="125" spans="1:10" x14ac:dyDescent="0.3">
      <c r="A125" s="89" t="s">
        <v>2083</v>
      </c>
      <c r="B125" s="90" t="s">
        <v>2088</v>
      </c>
      <c r="C125" s="49" t="s">
        <v>576</v>
      </c>
      <c r="D125" s="42"/>
      <c r="E125" s="110">
        <v>1820</v>
      </c>
      <c r="F125" s="110"/>
      <c r="G125" s="110">
        <f>G124-E125-F125</f>
        <v>8980</v>
      </c>
      <c r="H125" s="75"/>
    </row>
    <row r="126" spans="1:10" x14ac:dyDescent="0.3">
      <c r="A126" s="89" t="s">
        <v>2420</v>
      </c>
      <c r="B126" s="90" t="s">
        <v>2442</v>
      </c>
      <c r="C126" s="49" t="s">
        <v>2269</v>
      </c>
      <c r="D126" s="48"/>
      <c r="E126" s="110">
        <v>200</v>
      </c>
      <c r="F126" s="110"/>
      <c r="G126" s="110">
        <f>G125-E126-F126</f>
        <v>8780</v>
      </c>
      <c r="H126" s="75"/>
    </row>
    <row r="127" spans="1:10" x14ac:dyDescent="0.3">
      <c r="A127" s="89" t="s">
        <v>2196</v>
      </c>
      <c r="B127" s="90" t="s">
        <v>2197</v>
      </c>
      <c r="C127" s="49" t="s">
        <v>576</v>
      </c>
      <c r="D127" s="48"/>
      <c r="E127" s="73">
        <v>1200</v>
      </c>
      <c r="F127" s="110"/>
      <c r="G127" s="110">
        <f>G126-E127-F127</f>
        <v>7580</v>
      </c>
      <c r="H127" s="384"/>
    </row>
    <row r="128" spans="1:10" x14ac:dyDescent="0.3">
      <c r="A128" s="89"/>
      <c r="B128" s="90" t="s">
        <v>2556</v>
      </c>
      <c r="C128" s="49" t="s">
        <v>2493</v>
      </c>
      <c r="D128" s="48"/>
      <c r="E128" s="73">
        <v>2600</v>
      </c>
      <c r="F128" s="110"/>
      <c r="G128" s="110">
        <f>G127-E128-F128</f>
        <v>4980</v>
      </c>
      <c r="H128" s="384"/>
    </row>
    <row r="129" spans="1:11" x14ac:dyDescent="0.3">
      <c r="A129" s="89" t="s">
        <v>2517</v>
      </c>
      <c r="B129" s="90" t="s">
        <v>2520</v>
      </c>
      <c r="C129" s="49" t="s">
        <v>2386</v>
      </c>
      <c r="D129" s="48"/>
      <c r="E129" s="73">
        <v>1325</v>
      </c>
      <c r="F129" s="110"/>
      <c r="G129" s="110">
        <f>G128-E129-F129</f>
        <v>3655</v>
      </c>
      <c r="H129" s="384"/>
    </row>
    <row r="130" spans="1:11" x14ac:dyDescent="0.3">
      <c r="A130" s="89"/>
      <c r="B130" s="90"/>
      <c r="C130" s="49"/>
      <c r="D130" s="48">
        <v>-3655</v>
      </c>
      <c r="E130" s="73"/>
      <c r="F130" s="110"/>
      <c r="G130" s="110">
        <f>G129+D130</f>
        <v>0</v>
      </c>
      <c r="H130" s="384"/>
    </row>
    <row r="131" spans="1:11" x14ac:dyDescent="0.3">
      <c r="A131" s="89"/>
      <c r="B131" s="90"/>
      <c r="C131" s="49"/>
      <c r="D131" s="48"/>
      <c r="E131" s="73"/>
      <c r="F131" s="110"/>
      <c r="G131" s="110"/>
      <c r="H131" s="75"/>
    </row>
    <row r="132" spans="1:11" x14ac:dyDescent="0.3">
      <c r="A132" s="89"/>
      <c r="B132" s="90">
        <v>10</v>
      </c>
      <c r="C132" s="49" t="s">
        <v>1197</v>
      </c>
      <c r="D132" s="48">
        <v>5950</v>
      </c>
      <c r="E132" s="73"/>
      <c r="F132" s="110"/>
      <c r="G132" s="110">
        <f>D132</f>
        <v>5950</v>
      </c>
      <c r="H132" s="75"/>
    </row>
    <row r="133" spans="1:11" x14ac:dyDescent="0.3">
      <c r="A133" s="89"/>
      <c r="B133" s="90" t="s">
        <v>279</v>
      </c>
      <c r="C133" s="49" t="s">
        <v>1200</v>
      </c>
      <c r="D133" s="98"/>
      <c r="E133" s="93">
        <v>2875</v>
      </c>
      <c r="F133" s="110"/>
      <c r="G133" s="110">
        <f>G132-E133</f>
        <v>3075</v>
      </c>
      <c r="H133" s="75" t="s">
        <v>131</v>
      </c>
    </row>
    <row r="134" spans="1:11" x14ac:dyDescent="0.3">
      <c r="A134" s="89" t="s">
        <v>1202</v>
      </c>
      <c r="B134" s="90" t="s">
        <v>1242</v>
      </c>
      <c r="C134" s="49" t="s">
        <v>1198</v>
      </c>
      <c r="D134" s="98"/>
      <c r="E134" s="93">
        <v>825</v>
      </c>
      <c r="F134" s="110"/>
      <c r="G134" s="110">
        <f>G133-E134</f>
        <v>2250</v>
      </c>
      <c r="H134" s="117" t="s">
        <v>1199</v>
      </c>
    </row>
    <row r="135" spans="1:11" x14ac:dyDescent="0.3">
      <c r="A135" s="89"/>
      <c r="B135" s="90" t="s">
        <v>1242</v>
      </c>
      <c r="C135" s="49" t="s">
        <v>1201</v>
      </c>
      <c r="D135" s="98"/>
      <c r="E135" s="93">
        <v>2250</v>
      </c>
      <c r="F135" s="110"/>
      <c r="G135" s="110">
        <f>G134-E135</f>
        <v>0</v>
      </c>
      <c r="H135" s="117"/>
      <c r="J135" s="1">
        <v>950000</v>
      </c>
    </row>
    <row r="136" spans="1:11" x14ac:dyDescent="0.3">
      <c r="A136" s="89"/>
      <c r="B136" s="90"/>
      <c r="C136" s="49"/>
      <c r="D136" s="98"/>
      <c r="E136" s="93"/>
      <c r="F136" s="110"/>
      <c r="G136" s="110"/>
      <c r="H136" s="117"/>
      <c r="J136" s="1">
        <v>996272</v>
      </c>
    </row>
    <row r="137" spans="1:11" x14ac:dyDescent="0.3">
      <c r="A137" s="89"/>
      <c r="B137" s="90">
        <v>11</v>
      </c>
      <c r="C137" s="49" t="s">
        <v>1642</v>
      </c>
      <c r="D137" s="98">
        <v>69870</v>
      </c>
      <c r="E137" s="93"/>
      <c r="F137" s="110"/>
      <c r="G137" s="110">
        <f>D137</f>
        <v>69870</v>
      </c>
      <c r="H137" s="117" t="s">
        <v>291</v>
      </c>
    </row>
    <row r="138" spans="1:11" x14ac:dyDescent="0.3">
      <c r="A138" s="89" t="s">
        <v>1863</v>
      </c>
      <c r="B138" s="90" t="s">
        <v>1899</v>
      </c>
      <c r="C138" s="49" t="s">
        <v>1589</v>
      </c>
      <c r="D138" s="98"/>
      <c r="E138" s="93">
        <v>35690</v>
      </c>
      <c r="F138" s="110"/>
      <c r="G138" s="110">
        <f>G137-E138</f>
        <v>34180</v>
      </c>
      <c r="H138" s="117"/>
    </row>
    <row r="139" spans="1:11" x14ac:dyDescent="0.3">
      <c r="A139" s="89"/>
      <c r="B139" s="90" t="s">
        <v>1900</v>
      </c>
      <c r="C139" s="49" t="s">
        <v>1311</v>
      </c>
      <c r="D139" s="98"/>
      <c r="E139" s="93">
        <v>21900</v>
      </c>
      <c r="F139" s="110"/>
      <c r="G139" s="110">
        <f>G138-E139</f>
        <v>12280</v>
      </c>
      <c r="H139" s="117"/>
    </row>
    <row r="140" spans="1:11" x14ac:dyDescent="0.3">
      <c r="A140" s="89" t="s">
        <v>2004</v>
      </c>
      <c r="B140" s="90" t="s">
        <v>2049</v>
      </c>
      <c r="C140" s="49" t="s">
        <v>2003</v>
      </c>
      <c r="D140" s="98"/>
      <c r="E140" s="93">
        <v>3580</v>
      </c>
      <c r="F140" s="110"/>
      <c r="G140" s="110">
        <f>G139-E140-F140</f>
        <v>8700</v>
      </c>
      <c r="H140" s="117"/>
    </row>
    <row r="141" spans="1:11" x14ac:dyDescent="0.3">
      <c r="A141" s="89" t="s">
        <v>2741</v>
      </c>
      <c r="B141" s="90" t="s">
        <v>2743</v>
      </c>
      <c r="C141" s="49" t="s">
        <v>2307</v>
      </c>
      <c r="D141" s="98"/>
      <c r="E141" s="93">
        <v>7270</v>
      </c>
      <c r="F141" s="110"/>
      <c r="G141" s="110">
        <f>G140-E141-F141</f>
        <v>1430</v>
      </c>
      <c r="H141" s="384"/>
    </row>
    <row r="142" spans="1:11" x14ac:dyDescent="0.3">
      <c r="A142" s="89" t="s">
        <v>2420</v>
      </c>
      <c r="B142" s="90" t="s">
        <v>2440</v>
      </c>
      <c r="C142" s="49" t="s">
        <v>2439</v>
      </c>
      <c r="D142" s="98"/>
      <c r="E142" s="93">
        <v>1430</v>
      </c>
      <c r="F142" s="110"/>
      <c r="G142" s="110">
        <f>G141-E142-F142</f>
        <v>0</v>
      </c>
      <c r="H142" s="117"/>
      <c r="K142" s="18">
        <f>18*4</f>
        <v>72</v>
      </c>
    </row>
    <row r="143" spans="1:11" x14ac:dyDescent="0.3">
      <c r="A143" s="89"/>
      <c r="B143" s="90"/>
      <c r="C143" s="49"/>
      <c r="D143" s="98"/>
      <c r="E143" s="93"/>
      <c r="F143" s="110"/>
      <c r="G143" s="110"/>
      <c r="H143" s="117"/>
      <c r="K143" s="18">
        <f>18.4*4</f>
        <v>73.599999999999994</v>
      </c>
    </row>
    <row r="144" spans="1:11" x14ac:dyDescent="0.3">
      <c r="A144" s="89"/>
      <c r="B144" s="90">
        <v>12</v>
      </c>
      <c r="C144" s="49" t="s">
        <v>1643</v>
      </c>
      <c r="D144" s="98">
        <v>69970</v>
      </c>
      <c r="E144" s="93"/>
      <c r="F144" s="110"/>
      <c r="G144" s="110">
        <f>D144</f>
        <v>69970</v>
      </c>
      <c r="H144" s="117" t="s">
        <v>1644</v>
      </c>
      <c r="J144" s="8">
        <v>1450000</v>
      </c>
      <c r="K144" s="279">
        <f>J144-500000</f>
        <v>950000</v>
      </c>
    </row>
    <row r="145" spans="1:11" x14ac:dyDescent="0.3">
      <c r="A145" s="89" t="s">
        <v>1848</v>
      </c>
      <c r="B145" s="90" t="s">
        <v>1895</v>
      </c>
      <c r="C145" s="49" t="s">
        <v>1397</v>
      </c>
      <c r="D145" s="98"/>
      <c r="E145" s="93">
        <v>61840</v>
      </c>
      <c r="F145" s="110"/>
      <c r="G145" s="110">
        <f>G144-E145</f>
        <v>8130</v>
      </c>
      <c r="H145" s="117"/>
      <c r="J145" s="8"/>
      <c r="K145" s="279"/>
    </row>
    <row r="146" spans="1:11" x14ac:dyDescent="0.3">
      <c r="A146" s="89" t="s">
        <v>2102</v>
      </c>
      <c r="B146" s="90"/>
      <c r="C146" s="49" t="s">
        <v>2098</v>
      </c>
      <c r="D146" s="98"/>
      <c r="E146" s="93">
        <v>-3770</v>
      </c>
      <c r="F146" s="110"/>
      <c r="G146" s="110">
        <f>G145-E146</f>
        <v>11900</v>
      </c>
      <c r="H146" s="117"/>
      <c r="J146" s="8">
        <v>950000</v>
      </c>
    </row>
    <row r="147" spans="1:11" x14ac:dyDescent="0.3">
      <c r="A147" s="89" t="s">
        <v>2221</v>
      </c>
      <c r="B147" s="90" t="s">
        <v>2245</v>
      </c>
      <c r="C147" s="49" t="s">
        <v>675</v>
      </c>
      <c r="D147" s="98"/>
      <c r="E147" s="93">
        <v>3770</v>
      </c>
      <c r="F147" s="110"/>
      <c r="G147" s="110">
        <f>G146-E147</f>
        <v>8130</v>
      </c>
      <c r="H147" s="385" t="s">
        <v>2306</v>
      </c>
      <c r="J147" s="8"/>
    </row>
    <row r="148" spans="1:11" x14ac:dyDescent="0.3">
      <c r="A148" s="89"/>
      <c r="B148" s="90"/>
      <c r="C148" s="49"/>
      <c r="D148" s="98">
        <v>-8130</v>
      </c>
      <c r="E148" s="93"/>
      <c r="F148" s="110"/>
      <c r="G148" s="110">
        <f>G147+D148</f>
        <v>0</v>
      </c>
      <c r="H148" s="385"/>
      <c r="J148" s="8"/>
    </row>
    <row r="149" spans="1:11" x14ac:dyDescent="0.3">
      <c r="A149" s="89"/>
      <c r="B149" s="90"/>
      <c r="C149" s="49"/>
      <c r="D149" s="98"/>
      <c r="E149" s="93"/>
      <c r="F149" s="110"/>
      <c r="G149" s="110"/>
      <c r="H149" s="117"/>
      <c r="J149" s="8"/>
    </row>
    <row r="150" spans="1:11" x14ac:dyDescent="0.3">
      <c r="A150" s="89"/>
      <c r="B150" s="90">
        <v>13</v>
      </c>
      <c r="C150" s="49" t="s">
        <v>1924</v>
      </c>
      <c r="D150" s="98">
        <v>57800</v>
      </c>
      <c r="E150" s="93"/>
      <c r="F150" s="110"/>
      <c r="G150" s="110">
        <v>57800</v>
      </c>
      <c r="H150" s="117" t="s">
        <v>356</v>
      </c>
      <c r="J150" s="8"/>
    </row>
    <row r="151" spans="1:11" x14ac:dyDescent="0.3">
      <c r="A151" s="89" t="s">
        <v>2249</v>
      </c>
      <c r="B151" s="90" t="s">
        <v>2250</v>
      </c>
      <c r="C151" s="49" t="s">
        <v>2099</v>
      </c>
      <c r="D151" s="98"/>
      <c r="E151" s="93">
        <v>57800</v>
      </c>
      <c r="F151" s="110"/>
      <c r="G151" s="110">
        <f>G150-E151-F151</f>
        <v>0</v>
      </c>
      <c r="H151" s="117"/>
      <c r="J151" s="8"/>
    </row>
    <row r="152" spans="1:11" x14ac:dyDescent="0.3">
      <c r="A152" s="89"/>
      <c r="B152" s="90"/>
      <c r="C152" s="49"/>
      <c r="D152" s="98"/>
      <c r="E152" s="93"/>
      <c r="F152" s="110"/>
      <c r="G152" s="110"/>
      <c r="H152" s="117"/>
      <c r="J152" s="8"/>
    </row>
    <row r="153" spans="1:11" x14ac:dyDescent="0.3">
      <c r="A153" s="89"/>
      <c r="B153" s="90">
        <v>14</v>
      </c>
      <c r="C153" s="49" t="s">
        <v>1934</v>
      </c>
      <c r="D153" s="98">
        <v>280000</v>
      </c>
      <c r="E153" s="93"/>
      <c r="F153" s="110"/>
      <c r="G153" s="110">
        <v>280000</v>
      </c>
      <c r="H153" s="117" t="s">
        <v>1933</v>
      </c>
      <c r="J153" s="8"/>
    </row>
    <row r="154" spans="1:11" x14ac:dyDescent="0.3">
      <c r="A154" s="89" t="s">
        <v>2221</v>
      </c>
      <c r="B154" s="90" t="s">
        <v>2242</v>
      </c>
      <c r="C154" s="49" t="s">
        <v>677</v>
      </c>
      <c r="D154" s="98"/>
      <c r="E154" s="93">
        <v>1423</v>
      </c>
      <c r="F154" s="110"/>
      <c r="G154" s="110">
        <f t="shared" ref="G154:G163" si="5">G153-E154-F154</f>
        <v>278577</v>
      </c>
      <c r="H154" s="117"/>
      <c r="J154" s="8"/>
    </row>
    <row r="155" spans="1:11" x14ac:dyDescent="0.3">
      <c r="A155" s="89" t="s">
        <v>2221</v>
      </c>
      <c r="B155" s="90" t="s">
        <v>2240</v>
      </c>
      <c r="C155" s="49" t="s">
        <v>2241</v>
      </c>
      <c r="D155" s="98"/>
      <c r="E155" s="93">
        <v>9620</v>
      </c>
      <c r="F155" s="110"/>
      <c r="G155" s="110">
        <f t="shared" si="5"/>
        <v>268957</v>
      </c>
      <c r="H155" s="117"/>
      <c r="J155" s="8"/>
    </row>
    <row r="156" spans="1:11" x14ac:dyDescent="0.3">
      <c r="A156" s="89" t="s">
        <v>2221</v>
      </c>
      <c r="B156" s="90" t="s">
        <v>2243</v>
      </c>
      <c r="C156" s="49" t="s">
        <v>330</v>
      </c>
      <c r="D156" s="98"/>
      <c r="E156" s="93">
        <v>3600</v>
      </c>
      <c r="F156" s="110"/>
      <c r="G156" s="110">
        <f t="shared" si="5"/>
        <v>265357</v>
      </c>
      <c r="H156" s="117"/>
      <c r="J156" s="8"/>
    </row>
    <row r="157" spans="1:11" x14ac:dyDescent="0.3">
      <c r="A157" s="89" t="s">
        <v>2540</v>
      </c>
      <c r="B157" s="90" t="s">
        <v>2561</v>
      </c>
      <c r="C157" s="49" t="s">
        <v>675</v>
      </c>
      <c r="D157" s="98"/>
      <c r="E157" s="93">
        <v>18420</v>
      </c>
      <c r="F157" s="110"/>
      <c r="G157" s="110">
        <f t="shared" si="5"/>
        <v>246937</v>
      </c>
      <c r="H157" s="117"/>
      <c r="J157" s="8"/>
    </row>
    <row r="158" spans="1:11" x14ac:dyDescent="0.3">
      <c r="A158" s="89" t="s">
        <v>2420</v>
      </c>
      <c r="B158" s="90" t="s">
        <v>2240</v>
      </c>
      <c r="C158" s="49" t="s">
        <v>2387</v>
      </c>
      <c r="D158" s="98"/>
      <c r="E158" s="93">
        <v>21750</v>
      </c>
      <c r="F158" s="110"/>
      <c r="G158" s="110">
        <f t="shared" si="5"/>
        <v>225187</v>
      </c>
      <c r="H158" s="117"/>
      <c r="J158" s="8"/>
    </row>
    <row r="159" spans="1:11" x14ac:dyDescent="0.3">
      <c r="A159" s="89" t="s">
        <v>2540</v>
      </c>
      <c r="B159" s="90" t="s">
        <v>2438</v>
      </c>
      <c r="C159" s="49" t="s">
        <v>2393</v>
      </c>
      <c r="D159" s="98"/>
      <c r="E159" s="93">
        <v>180150</v>
      </c>
      <c r="F159" s="110"/>
      <c r="G159" s="110">
        <f t="shared" si="5"/>
        <v>45037</v>
      </c>
      <c r="H159" s="117"/>
      <c r="J159" s="8"/>
    </row>
    <row r="160" spans="1:11" x14ac:dyDescent="0.3">
      <c r="A160" s="89" t="s">
        <v>2641</v>
      </c>
      <c r="B160" s="90" t="s">
        <v>2646</v>
      </c>
      <c r="C160" s="49" t="s">
        <v>675</v>
      </c>
      <c r="D160" s="98"/>
      <c r="E160" s="93">
        <v>5165</v>
      </c>
      <c r="F160" s="110"/>
      <c r="G160" s="110">
        <f t="shared" si="5"/>
        <v>39872</v>
      </c>
      <c r="H160" s="117"/>
      <c r="J160" s="8"/>
    </row>
    <row r="161" spans="1:12" x14ac:dyDescent="0.3">
      <c r="A161" s="89" t="s">
        <v>2741</v>
      </c>
      <c r="B161" s="90" t="s">
        <v>2779</v>
      </c>
      <c r="C161" s="49" t="s">
        <v>2496</v>
      </c>
      <c r="D161" s="98"/>
      <c r="E161" s="93">
        <v>18200</v>
      </c>
      <c r="F161" s="110"/>
      <c r="G161" s="110">
        <f t="shared" si="5"/>
        <v>21672</v>
      </c>
      <c r="H161" s="117"/>
      <c r="J161" s="8">
        <f>221*25</f>
        <v>5525</v>
      </c>
    </row>
    <row r="162" spans="1:12" x14ac:dyDescent="0.3">
      <c r="A162" s="89" t="s">
        <v>2641</v>
      </c>
      <c r="B162" s="90" t="s">
        <v>2660</v>
      </c>
      <c r="C162" s="49" t="s">
        <v>330</v>
      </c>
      <c r="D162" s="98"/>
      <c r="E162" s="93">
        <v>7825</v>
      </c>
      <c r="F162" s="110"/>
      <c r="G162" s="110">
        <f t="shared" si="5"/>
        <v>13847</v>
      </c>
      <c r="H162" s="117"/>
      <c r="J162" s="8"/>
    </row>
    <row r="163" spans="1:12" x14ac:dyDescent="0.3">
      <c r="A163" s="89" t="s">
        <v>2540</v>
      </c>
      <c r="B163" s="90" t="s">
        <v>2558</v>
      </c>
      <c r="C163" s="49" t="s">
        <v>2557</v>
      </c>
      <c r="D163" s="98"/>
      <c r="E163" s="136">
        <v>4200</v>
      </c>
      <c r="F163" s="110"/>
      <c r="G163" s="110">
        <f t="shared" si="5"/>
        <v>9647</v>
      </c>
      <c r="H163" s="117"/>
      <c r="J163" s="8"/>
    </row>
    <row r="164" spans="1:12" x14ac:dyDescent="0.3">
      <c r="A164" s="89"/>
      <c r="B164" s="90"/>
      <c r="C164" s="49" t="s">
        <v>2794</v>
      </c>
      <c r="D164" s="98">
        <v>-9647</v>
      </c>
      <c r="E164" s="93"/>
      <c r="F164" s="110"/>
      <c r="G164" s="110">
        <f>G163+D164</f>
        <v>0</v>
      </c>
      <c r="H164" s="117"/>
      <c r="J164" s="8"/>
      <c r="L164" s="1">
        <f>5525/25</f>
        <v>221</v>
      </c>
    </row>
    <row r="165" spans="1:12" x14ac:dyDescent="0.3">
      <c r="A165" s="89"/>
      <c r="B165" s="90"/>
      <c r="C165" s="49"/>
      <c r="D165" s="98"/>
      <c r="E165" s="93"/>
      <c r="F165" s="110"/>
      <c r="G165" s="110"/>
      <c r="H165" s="117"/>
      <c r="J165" s="8"/>
    </row>
    <row r="166" spans="1:12" x14ac:dyDescent="0.3">
      <c r="A166" s="89"/>
      <c r="B166" s="90"/>
      <c r="C166" s="49"/>
      <c r="D166" s="98"/>
      <c r="E166" s="93"/>
      <c r="F166" s="110"/>
      <c r="G166" s="110"/>
      <c r="H166" s="117"/>
      <c r="J166" s="8"/>
    </row>
    <row r="167" spans="1:12" x14ac:dyDescent="0.3">
      <c r="A167" s="89"/>
      <c r="B167" s="90">
        <v>15</v>
      </c>
      <c r="C167" s="49" t="s">
        <v>2335</v>
      </c>
      <c r="D167" s="98">
        <v>20000</v>
      </c>
      <c r="E167" s="93"/>
      <c r="F167" s="110"/>
      <c r="G167" s="110">
        <v>20000</v>
      </c>
      <c r="H167" s="117"/>
      <c r="J167" s="8">
        <v>3100</v>
      </c>
    </row>
    <row r="168" spans="1:12" x14ac:dyDescent="0.3">
      <c r="A168" s="89" t="s">
        <v>2564</v>
      </c>
      <c r="B168" s="90" t="s">
        <v>2563</v>
      </c>
      <c r="C168" s="49" t="s">
        <v>2369</v>
      </c>
      <c r="D168" s="98"/>
      <c r="E168" s="93">
        <v>16100</v>
      </c>
      <c r="F168" s="110"/>
      <c r="G168" s="110">
        <f>G167-E168-F168</f>
        <v>3900</v>
      </c>
      <c r="H168" s="117"/>
      <c r="J168" s="8">
        <v>7025</v>
      </c>
    </row>
    <row r="169" spans="1:12" x14ac:dyDescent="0.3">
      <c r="A169" s="89" t="s">
        <v>2420</v>
      </c>
      <c r="B169" s="89" t="s">
        <v>2430</v>
      </c>
      <c r="C169" s="49" t="s">
        <v>2431</v>
      </c>
      <c r="D169" s="98"/>
      <c r="E169" s="93">
        <v>3900</v>
      </c>
      <c r="F169" s="110"/>
      <c r="G169" s="110">
        <f>G168-E169-F169</f>
        <v>0</v>
      </c>
      <c r="H169" s="117"/>
      <c r="J169" s="8">
        <v>850</v>
      </c>
    </row>
    <row r="170" spans="1:12" x14ac:dyDescent="0.3">
      <c r="A170" s="89"/>
      <c r="B170" s="90"/>
      <c r="C170" s="49"/>
      <c r="D170" s="98"/>
      <c r="E170" s="93"/>
      <c r="F170" s="110"/>
      <c r="G170" s="110"/>
      <c r="H170" s="117"/>
      <c r="J170" s="8"/>
    </row>
    <row r="171" spans="1:12" x14ac:dyDescent="0.3">
      <c r="A171" s="89"/>
      <c r="B171" s="90">
        <v>16</v>
      </c>
      <c r="C171" s="49" t="s">
        <v>2672</v>
      </c>
      <c r="D171" s="98">
        <v>11700</v>
      </c>
      <c r="E171" s="93"/>
      <c r="F171" s="110"/>
      <c r="G171" s="110">
        <f>D171</f>
        <v>11700</v>
      </c>
      <c r="H171" s="117"/>
      <c r="J171" s="8"/>
      <c r="L171" s="1">
        <v>20533</v>
      </c>
    </row>
    <row r="172" spans="1:12" x14ac:dyDescent="0.3">
      <c r="A172" s="89" t="s">
        <v>2641</v>
      </c>
      <c r="B172" s="90" t="s">
        <v>2686</v>
      </c>
      <c r="C172" s="49" t="s">
        <v>2652</v>
      </c>
      <c r="D172" s="98"/>
      <c r="E172" s="136">
        <v>3900</v>
      </c>
      <c r="F172" s="110"/>
      <c r="G172" s="110">
        <f>G171-E172-F172</f>
        <v>7800</v>
      </c>
      <c r="H172" s="117"/>
      <c r="J172" s="8"/>
    </row>
    <row r="173" spans="1:12" x14ac:dyDescent="0.3">
      <c r="A173" s="89"/>
      <c r="B173" s="90"/>
      <c r="C173" s="49" t="s">
        <v>2688</v>
      </c>
      <c r="D173" s="98"/>
      <c r="E173" s="136">
        <v>3900</v>
      </c>
      <c r="F173" s="110"/>
      <c r="G173" s="110">
        <f t="shared" ref="G173:G174" si="6">G172-E173-F173</f>
        <v>3900</v>
      </c>
      <c r="H173" s="117"/>
      <c r="J173" s="8"/>
    </row>
    <row r="174" spans="1:12" x14ac:dyDescent="0.3">
      <c r="A174" s="89" t="s">
        <v>2689</v>
      </c>
      <c r="B174" s="90" t="s">
        <v>2687</v>
      </c>
      <c r="C174" s="49" t="s">
        <v>2671</v>
      </c>
      <c r="D174" s="98"/>
      <c r="E174" s="136">
        <v>3900</v>
      </c>
      <c r="F174" s="110"/>
      <c r="G174" s="110">
        <f t="shared" si="6"/>
        <v>0</v>
      </c>
      <c r="H174" s="117"/>
      <c r="J174" s="8"/>
      <c r="L174" s="1">
        <v>7800</v>
      </c>
    </row>
    <row r="175" spans="1:12" x14ac:dyDescent="0.3">
      <c r="A175" s="89"/>
      <c r="B175" s="90"/>
      <c r="C175" s="49"/>
      <c r="D175" s="98"/>
      <c r="E175" s="93"/>
      <c r="F175" s="110"/>
      <c r="G175" s="110"/>
      <c r="H175" s="117"/>
      <c r="J175" s="8"/>
    </row>
    <row r="176" spans="1:12" x14ac:dyDescent="0.3">
      <c r="A176" s="89"/>
      <c r="B176" s="90">
        <v>17</v>
      </c>
      <c r="C176" s="49" t="s">
        <v>2670</v>
      </c>
      <c r="D176" s="98">
        <v>14500</v>
      </c>
      <c r="E176" s="93"/>
      <c r="F176" s="110"/>
      <c r="G176" s="110">
        <f>D176</f>
        <v>14500</v>
      </c>
      <c r="H176" s="117"/>
      <c r="J176" s="8"/>
    </row>
    <row r="177" spans="1:16" x14ac:dyDescent="0.3">
      <c r="A177" s="89" t="s">
        <v>2836</v>
      </c>
      <c r="B177" s="90" t="s">
        <v>2845</v>
      </c>
      <c r="C177" s="49" t="s">
        <v>180</v>
      </c>
      <c r="D177" s="98"/>
      <c r="E177" s="93">
        <v>14500</v>
      </c>
      <c r="F177" s="110"/>
      <c r="G177" s="110">
        <f>G176-E177-F177</f>
        <v>0</v>
      </c>
      <c r="H177" s="117"/>
      <c r="J177" s="8">
        <v>35435</v>
      </c>
    </row>
    <row r="178" spans="1:16" x14ac:dyDescent="0.3">
      <c r="A178" s="89"/>
      <c r="B178" s="90"/>
      <c r="C178" s="49"/>
      <c r="D178" s="98"/>
      <c r="E178" s="93"/>
      <c r="F178" s="110"/>
      <c r="G178" s="110"/>
      <c r="H178" s="117"/>
      <c r="J178" s="8"/>
    </row>
    <row r="179" spans="1:16" x14ac:dyDescent="0.3">
      <c r="A179" s="89"/>
      <c r="B179" s="90">
        <v>18</v>
      </c>
      <c r="C179" s="49" t="s">
        <v>2729</v>
      </c>
      <c r="D179" s="98">
        <v>1200</v>
      </c>
      <c r="E179" s="93"/>
      <c r="F179" s="110"/>
      <c r="G179" s="110">
        <f>D179</f>
        <v>1200</v>
      </c>
      <c r="H179" s="117" t="s">
        <v>584</v>
      </c>
      <c r="J179" s="8">
        <v>1200</v>
      </c>
    </row>
    <row r="180" spans="1:16" x14ac:dyDescent="0.3">
      <c r="A180" s="89" t="s">
        <v>2732</v>
      </c>
      <c r="B180" s="90" t="s">
        <v>2883</v>
      </c>
      <c r="C180" s="49" t="s">
        <v>2733</v>
      </c>
      <c r="D180" s="98"/>
      <c r="E180" s="93">
        <v>1200</v>
      </c>
      <c r="F180" s="110"/>
      <c r="G180" s="110">
        <f>G179-E180-F180</f>
        <v>0</v>
      </c>
      <c r="H180" s="117"/>
      <c r="J180" s="8">
        <f>J177-J179</f>
        <v>34235</v>
      </c>
    </row>
    <row r="181" spans="1:16" x14ac:dyDescent="0.3">
      <c r="A181" s="89"/>
      <c r="B181" s="90"/>
      <c r="C181" s="49"/>
      <c r="D181" s="98"/>
      <c r="E181" s="93"/>
      <c r="F181" s="110"/>
      <c r="G181" s="110"/>
      <c r="H181" s="117"/>
      <c r="J181" s="8">
        <v>9647</v>
      </c>
    </row>
    <row r="182" spans="1:16" x14ac:dyDescent="0.3">
      <c r="A182" s="89"/>
      <c r="B182" s="90"/>
      <c r="C182" s="49" t="s">
        <v>299</v>
      </c>
      <c r="D182" s="42">
        <v>49838</v>
      </c>
      <c r="E182" s="73"/>
      <c r="F182" s="110"/>
      <c r="G182" s="110"/>
      <c r="H182" s="117"/>
      <c r="J182" s="8">
        <v>8130</v>
      </c>
      <c r="K182" s="1"/>
      <c r="L182" s="1">
        <f>L171-L174</f>
        <v>12733</v>
      </c>
    </row>
    <row r="183" spans="1:16" x14ac:dyDescent="0.3">
      <c r="A183" s="238"/>
      <c r="B183" s="228"/>
      <c r="C183" s="116" t="s">
        <v>2846</v>
      </c>
      <c r="D183" s="48">
        <v>-49838</v>
      </c>
      <c r="E183" s="35"/>
      <c r="F183" s="239"/>
      <c r="G183" s="239"/>
      <c r="H183" s="117"/>
      <c r="J183" s="8">
        <f>SUM(J167:J182)</f>
        <v>99622</v>
      </c>
      <c r="K183" s="1"/>
      <c r="L183" s="50"/>
      <c r="N183" s="255"/>
    </row>
    <row r="184" spans="1:16" x14ac:dyDescent="0.3">
      <c r="A184" s="114"/>
      <c r="B184" s="228"/>
      <c r="C184" s="116"/>
      <c r="D184" s="289"/>
      <c r="E184" s="35"/>
      <c r="F184" s="35"/>
      <c r="G184" s="35"/>
      <c r="H184" s="117"/>
      <c r="J184" s="8"/>
      <c r="N184" s="113"/>
    </row>
    <row r="185" spans="1:16" ht="19.5" thickBot="1" x14ac:dyDescent="0.35">
      <c r="A185" s="118"/>
      <c r="B185" s="229"/>
      <c r="C185" s="120" t="s">
        <v>150</v>
      </c>
      <c r="D185" s="290">
        <f>SUM(D13:D184)</f>
        <v>1305662</v>
      </c>
      <c r="E185" s="424">
        <f>SUM(E6:E184)</f>
        <v>1293662</v>
      </c>
      <c r="F185" s="252">
        <f>SUM(F6:F184)</f>
        <v>12000</v>
      </c>
      <c r="G185" s="210">
        <f>D185-E185-F185</f>
        <v>0</v>
      </c>
      <c r="H185" s="122"/>
      <c r="J185" s="8"/>
      <c r="N185" s="8">
        <v>1355500</v>
      </c>
    </row>
    <row r="186" spans="1:16" ht="19.5" thickTop="1" x14ac:dyDescent="0.3">
      <c r="A186" s="23">
        <f>-J187</f>
        <v>0</v>
      </c>
      <c r="D186" s="123"/>
      <c r="E186" s="123"/>
      <c r="F186" s="123"/>
      <c r="G186" s="123"/>
      <c r="J186" s="50">
        <f>D189-D185</f>
        <v>49838</v>
      </c>
      <c r="N186" s="8">
        <v>2450000</v>
      </c>
    </row>
    <row r="187" spans="1:16" x14ac:dyDescent="0.3">
      <c r="C187" s="1" t="s">
        <v>1648</v>
      </c>
      <c r="D187" s="217">
        <v>950000</v>
      </c>
      <c r="E187" s="123"/>
      <c r="F187" s="429"/>
      <c r="G187" s="123"/>
      <c r="N187" s="50">
        <v>600000</v>
      </c>
    </row>
    <row r="188" spans="1:16" x14ac:dyDescent="0.3">
      <c r="C188" s="1" t="s">
        <v>1667</v>
      </c>
      <c r="D188" s="217">
        <v>405500</v>
      </c>
      <c r="E188" s="123"/>
      <c r="F188" s="429"/>
      <c r="G188" s="400"/>
      <c r="J188" s="50">
        <v>12733</v>
      </c>
      <c r="N188" s="1">
        <v>261500</v>
      </c>
    </row>
    <row r="189" spans="1:16" ht="19.5" thickBot="1" x14ac:dyDescent="0.35">
      <c r="D189" s="168">
        <f>SUM(D187:D188)</f>
        <v>1355500</v>
      </c>
      <c r="G189" s="1"/>
      <c r="J189" s="1">
        <v>12915</v>
      </c>
      <c r="N189" s="1">
        <v>333000</v>
      </c>
    </row>
    <row r="190" spans="1:16" ht="19.5" thickTop="1" x14ac:dyDescent="0.3">
      <c r="B190" s="138"/>
      <c r="C190" s="124"/>
      <c r="D190" s="57"/>
      <c r="E190" s="124"/>
      <c r="F190" s="124"/>
      <c r="G190" s="57"/>
      <c r="J190" s="1">
        <v>3655</v>
      </c>
      <c r="L190" s="40"/>
      <c r="N190" s="382">
        <f>SUM(N185:N189)</f>
        <v>5000000</v>
      </c>
      <c r="O190" s="126"/>
      <c r="P190" s="23"/>
    </row>
    <row r="191" spans="1:16" x14ac:dyDescent="0.3">
      <c r="B191" s="138"/>
      <c r="C191" s="124"/>
      <c r="D191" s="57"/>
      <c r="E191" s="124"/>
      <c r="F191" s="124"/>
      <c r="G191" s="57"/>
      <c r="L191" s="40"/>
      <c r="O191" s="126"/>
      <c r="P191" s="23"/>
    </row>
    <row r="192" spans="1:16" x14ac:dyDescent="0.3">
      <c r="B192" s="138"/>
      <c r="C192" s="124"/>
      <c r="D192" s="128"/>
      <c r="E192" s="124"/>
      <c r="F192" s="124"/>
      <c r="G192" s="125"/>
      <c r="L192" s="40"/>
      <c r="O192" s="126"/>
      <c r="P192" s="23"/>
    </row>
    <row r="193" spans="2:16" x14ac:dyDescent="0.3">
      <c r="B193" s="138"/>
      <c r="C193" s="124"/>
      <c r="D193" s="57"/>
      <c r="E193" s="124"/>
      <c r="F193" s="124"/>
      <c r="G193" s="125"/>
      <c r="L193" s="57"/>
      <c r="M193" s="124"/>
      <c r="N193" s="124"/>
      <c r="O193" s="125"/>
      <c r="P193" s="23"/>
    </row>
    <row r="194" spans="2:16" x14ac:dyDescent="0.3">
      <c r="B194" s="138"/>
      <c r="C194" s="124"/>
      <c r="D194" s="129"/>
      <c r="E194" s="124"/>
      <c r="F194" s="124"/>
      <c r="G194" s="124"/>
      <c r="L194" s="336"/>
      <c r="M194" s="124"/>
      <c r="N194" s="124"/>
      <c r="O194" s="129"/>
      <c r="P194" s="23"/>
    </row>
    <row r="195" spans="2:16" x14ac:dyDescent="0.3">
      <c r="L195" s="4"/>
      <c r="M195" s="124"/>
      <c r="N195" s="124"/>
      <c r="O195" s="124"/>
    </row>
    <row r="196" spans="2:16" x14ac:dyDescent="0.3">
      <c r="L196" s="4"/>
      <c r="M196" s="124"/>
      <c r="N196" s="124"/>
      <c r="O196" s="124"/>
    </row>
  </sheetData>
  <mergeCells count="2">
    <mergeCell ref="A1:G1"/>
    <mergeCell ref="A2:G2"/>
  </mergeCells>
  <pageMargins left="0.17" right="0.15" top="0.15748031496062992" bottom="0.15748031496062992" header="0.15748031496062992" footer="0.1574803149606299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workbookViewId="0">
      <selection activeCell="E89" sqref="E89"/>
    </sheetView>
  </sheetViews>
  <sheetFormatPr defaultRowHeight="17.25" x14ac:dyDescent="0.3"/>
  <cols>
    <col min="1" max="1" width="7.28515625" style="23" customWidth="1"/>
    <col min="2" max="2" width="8.7109375" style="18" customWidth="1"/>
    <col min="3" max="3" width="34.28515625" style="18" customWidth="1"/>
    <col min="4" max="4" width="11.28515625" style="18" customWidth="1"/>
    <col min="5" max="5" width="9.5703125" style="18" customWidth="1"/>
    <col min="6" max="6" width="9.28515625" style="78" customWidth="1"/>
    <col min="7" max="7" width="11.28515625" style="18" customWidth="1"/>
    <col min="8" max="8" width="9.140625" style="23" customWidth="1"/>
    <col min="9" max="16384" width="9.140625" style="18"/>
  </cols>
  <sheetData>
    <row r="1" spans="1:8" ht="18.75" x14ac:dyDescent="0.3">
      <c r="A1" s="451" t="s">
        <v>157</v>
      </c>
      <c r="B1" s="451"/>
      <c r="C1" s="451"/>
      <c r="D1" s="451"/>
      <c r="E1" s="451"/>
      <c r="F1" s="451"/>
      <c r="G1" s="451"/>
      <c r="H1" s="101" t="s">
        <v>163</v>
      </c>
    </row>
    <row r="2" spans="1:8" ht="18.75" x14ac:dyDescent="0.3">
      <c r="A2" s="451" t="s">
        <v>2463</v>
      </c>
      <c r="B2" s="451"/>
      <c r="C2" s="451"/>
      <c r="D2" s="451"/>
      <c r="E2" s="451"/>
      <c r="F2" s="451"/>
      <c r="G2" s="451"/>
      <c r="H2" s="77"/>
    </row>
    <row r="3" spans="1:8" ht="18.75" x14ac:dyDescent="0.3">
      <c r="A3" s="101" t="s">
        <v>14</v>
      </c>
      <c r="B3" s="63"/>
      <c r="C3" s="63"/>
      <c r="D3" s="63"/>
      <c r="E3" s="63"/>
      <c r="F3" s="77"/>
      <c r="G3" s="77" t="s">
        <v>161</v>
      </c>
      <c r="H3" s="77" t="s">
        <v>164</v>
      </c>
    </row>
    <row r="4" spans="1:8" ht="18.75" x14ac:dyDescent="0.3">
      <c r="A4" s="102" t="s">
        <v>16</v>
      </c>
      <c r="B4" s="64" t="s">
        <v>12</v>
      </c>
      <c r="C4" s="65" t="s">
        <v>4</v>
      </c>
      <c r="D4" s="260" t="s">
        <v>25</v>
      </c>
      <c r="E4" s="103" t="s">
        <v>1</v>
      </c>
      <c r="F4" s="357" t="s">
        <v>123</v>
      </c>
      <c r="G4" s="66" t="s">
        <v>2</v>
      </c>
      <c r="H4" s="104" t="s">
        <v>3</v>
      </c>
    </row>
    <row r="5" spans="1:8" ht="18.75" x14ac:dyDescent="0.3">
      <c r="A5" s="105"/>
      <c r="B5" s="67"/>
      <c r="C5" s="68"/>
      <c r="D5" s="261"/>
      <c r="E5" s="106"/>
      <c r="F5" s="358" t="s">
        <v>33</v>
      </c>
      <c r="G5" s="69"/>
      <c r="H5" s="107" t="s">
        <v>17</v>
      </c>
    </row>
    <row r="6" spans="1:8" ht="18.75" x14ac:dyDescent="0.3">
      <c r="A6" s="89" t="s">
        <v>168</v>
      </c>
      <c r="B6" s="90" t="s">
        <v>169</v>
      </c>
      <c r="C6" s="74" t="s">
        <v>778</v>
      </c>
      <c r="D6" s="42">
        <v>300000</v>
      </c>
      <c r="E6" s="73"/>
      <c r="F6" s="134"/>
      <c r="G6" s="110">
        <f>D6</f>
        <v>300000</v>
      </c>
      <c r="H6" s="75"/>
    </row>
    <row r="7" spans="1:8" ht="18.75" x14ac:dyDescent="0.3">
      <c r="A7" s="89" t="s">
        <v>664</v>
      </c>
      <c r="B7" s="90" t="s">
        <v>779</v>
      </c>
      <c r="C7" s="294" t="s">
        <v>1123</v>
      </c>
      <c r="D7" s="43">
        <v>300000</v>
      </c>
      <c r="E7" s="296"/>
      <c r="F7" s="381"/>
      <c r="G7" s="297">
        <f>G6+D7</f>
        <v>600000</v>
      </c>
      <c r="H7" s="298"/>
    </row>
    <row r="8" spans="1:8" ht="18.75" x14ac:dyDescent="0.3">
      <c r="A8" s="89"/>
      <c r="B8" s="90"/>
      <c r="C8" s="280"/>
      <c r="D8" s="47"/>
      <c r="E8" s="281"/>
      <c r="F8" s="342"/>
      <c r="G8" s="282"/>
      <c r="H8" s="269"/>
    </row>
    <row r="9" spans="1:8" ht="18.75" x14ac:dyDescent="0.3">
      <c r="A9" s="108"/>
      <c r="B9" s="70">
        <v>1</v>
      </c>
      <c r="C9" s="49" t="s">
        <v>300</v>
      </c>
      <c r="D9" s="42">
        <v>253225</v>
      </c>
      <c r="E9" s="73"/>
      <c r="F9" s="134"/>
      <c r="G9" s="110">
        <f>D9</f>
        <v>253225</v>
      </c>
      <c r="H9" s="75" t="s">
        <v>302</v>
      </c>
    </row>
    <row r="10" spans="1:8" ht="18.75" x14ac:dyDescent="0.3">
      <c r="A10" s="108"/>
      <c r="B10" s="70"/>
      <c r="C10" s="49" t="s">
        <v>301</v>
      </c>
      <c r="D10" s="42"/>
      <c r="E10" s="73"/>
      <c r="F10" s="134"/>
      <c r="G10" s="110"/>
      <c r="H10" s="75"/>
    </row>
    <row r="11" spans="1:8" ht="18.75" x14ac:dyDescent="0.3">
      <c r="A11" s="108" t="s">
        <v>376</v>
      </c>
      <c r="B11" s="70" t="s">
        <v>375</v>
      </c>
      <c r="C11" s="49" t="s">
        <v>377</v>
      </c>
      <c r="D11" s="256"/>
      <c r="E11" s="134">
        <v>1225</v>
      </c>
      <c r="F11" s="134"/>
      <c r="G11" s="110">
        <f>G9-E11</f>
        <v>252000</v>
      </c>
      <c r="H11" s="75"/>
    </row>
    <row r="12" spans="1:8" ht="18.75" x14ac:dyDescent="0.3">
      <c r="A12" s="108" t="s">
        <v>984</v>
      </c>
      <c r="B12" s="70" t="s">
        <v>986</v>
      </c>
      <c r="C12" s="49" t="s">
        <v>987</v>
      </c>
      <c r="D12" s="256"/>
      <c r="E12" s="134">
        <v>124500</v>
      </c>
      <c r="F12" s="134"/>
      <c r="G12" s="110">
        <f t="shared" ref="G12:G17" si="0">G11-E12</f>
        <v>127500</v>
      </c>
      <c r="H12" s="75"/>
    </row>
    <row r="13" spans="1:8" ht="18.75" x14ac:dyDescent="0.3">
      <c r="A13" s="108" t="s">
        <v>1106</v>
      </c>
      <c r="B13" s="70" t="s">
        <v>1107</v>
      </c>
      <c r="C13" s="49" t="s">
        <v>1105</v>
      </c>
      <c r="D13" s="256"/>
      <c r="E13" s="134">
        <v>1050</v>
      </c>
      <c r="F13" s="134"/>
      <c r="G13" s="110">
        <f t="shared" si="0"/>
        <v>126450</v>
      </c>
      <c r="H13" s="75"/>
    </row>
    <row r="14" spans="1:8" ht="18.75" x14ac:dyDescent="0.3">
      <c r="A14" s="108" t="s">
        <v>1558</v>
      </c>
      <c r="B14" s="70" t="s">
        <v>1562</v>
      </c>
      <c r="C14" s="49" t="s">
        <v>1563</v>
      </c>
      <c r="D14" s="256"/>
      <c r="E14" s="134">
        <v>2550</v>
      </c>
      <c r="F14" s="134"/>
      <c r="G14" s="110">
        <f t="shared" si="0"/>
        <v>123900</v>
      </c>
      <c r="H14" s="75"/>
    </row>
    <row r="15" spans="1:8" ht="18.75" x14ac:dyDescent="0.3">
      <c r="A15" s="108" t="s">
        <v>1606</v>
      </c>
      <c r="B15" s="70" t="s">
        <v>1612</v>
      </c>
      <c r="C15" s="49" t="s">
        <v>1613</v>
      </c>
      <c r="D15" s="256"/>
      <c r="E15" s="134">
        <v>700</v>
      </c>
      <c r="F15" s="134"/>
      <c r="G15" s="110">
        <f t="shared" si="0"/>
        <v>123200</v>
      </c>
      <c r="H15" s="75"/>
    </row>
    <row r="16" spans="1:8" ht="18.75" x14ac:dyDescent="0.3">
      <c r="A16" s="89" t="s">
        <v>1163</v>
      </c>
      <c r="B16" s="90" t="s">
        <v>1164</v>
      </c>
      <c r="C16" s="49" t="s">
        <v>1661</v>
      </c>
      <c r="D16" s="42"/>
      <c r="E16" s="110">
        <v>50000</v>
      </c>
      <c r="F16" s="134"/>
      <c r="G16" s="110">
        <f t="shared" si="0"/>
        <v>73200</v>
      </c>
      <c r="H16" s="75" t="s">
        <v>19</v>
      </c>
    </row>
    <row r="17" spans="1:8" ht="18.75" x14ac:dyDescent="0.3">
      <c r="A17" s="108" t="s">
        <v>1829</v>
      </c>
      <c r="B17" s="70" t="s">
        <v>1915</v>
      </c>
      <c r="C17" s="49" t="s">
        <v>1914</v>
      </c>
      <c r="D17" s="256"/>
      <c r="E17" s="134">
        <v>5277</v>
      </c>
      <c r="F17" s="134"/>
      <c r="G17" s="110">
        <f t="shared" si="0"/>
        <v>67923</v>
      </c>
      <c r="H17" s="75"/>
    </row>
    <row r="18" spans="1:8" ht="18.75" x14ac:dyDescent="0.3">
      <c r="A18" s="108"/>
      <c r="B18" s="70"/>
      <c r="C18" s="112" t="s">
        <v>1576</v>
      </c>
      <c r="D18" s="256">
        <v>-67923</v>
      </c>
      <c r="E18" s="134"/>
      <c r="F18" s="134"/>
      <c r="G18" s="110">
        <f>G17+D18</f>
        <v>0</v>
      </c>
      <c r="H18" s="75"/>
    </row>
    <row r="19" spans="1:8" ht="18.75" x14ac:dyDescent="0.3">
      <c r="A19" s="108"/>
      <c r="B19" s="70"/>
      <c r="C19" s="49"/>
      <c r="D19" s="256"/>
      <c r="E19" s="134"/>
      <c r="F19" s="134"/>
      <c r="G19" s="110"/>
      <c r="H19" s="75"/>
    </row>
    <row r="20" spans="1:8" ht="18.75" x14ac:dyDescent="0.3">
      <c r="A20" s="108"/>
      <c r="B20" s="70">
        <v>2</v>
      </c>
      <c r="C20" s="94" t="s">
        <v>305</v>
      </c>
      <c r="D20" s="256">
        <v>12120</v>
      </c>
      <c r="E20" s="73"/>
      <c r="F20" s="91"/>
      <c r="G20" s="110">
        <f>D20</f>
        <v>12120</v>
      </c>
      <c r="H20" s="75" t="s">
        <v>306</v>
      </c>
    </row>
    <row r="21" spans="1:8" ht="18.75" x14ac:dyDescent="0.3">
      <c r="A21" s="108" t="s">
        <v>712</v>
      </c>
      <c r="B21" s="70" t="s">
        <v>714</v>
      </c>
      <c r="C21" s="49" t="s">
        <v>577</v>
      </c>
      <c r="D21" s="256"/>
      <c r="E21" s="73">
        <v>2720</v>
      </c>
      <c r="F21" s="91"/>
      <c r="G21" s="110">
        <f>G20-E21</f>
        <v>9400</v>
      </c>
      <c r="H21" s="75"/>
    </row>
    <row r="22" spans="1:8" ht="18.75" x14ac:dyDescent="0.3">
      <c r="A22" s="108" t="s">
        <v>1202</v>
      </c>
      <c r="B22" s="70" t="s">
        <v>1245</v>
      </c>
      <c r="C22" s="49" t="s">
        <v>1246</v>
      </c>
      <c r="D22" s="256"/>
      <c r="E22" s="73">
        <v>500</v>
      </c>
      <c r="F22" s="91"/>
      <c r="G22" s="110">
        <f>G21-E22</f>
        <v>8900</v>
      </c>
      <c r="H22" s="75" t="s">
        <v>1247</v>
      </c>
    </row>
    <row r="23" spans="1:8" ht="18.75" x14ac:dyDescent="0.3">
      <c r="A23" s="108"/>
      <c r="B23" s="70"/>
      <c r="C23" s="49"/>
      <c r="D23" s="256">
        <v>-8900</v>
      </c>
      <c r="E23" s="73"/>
      <c r="F23" s="91"/>
      <c r="G23" s="110">
        <f>G22+D23</f>
        <v>0</v>
      </c>
      <c r="H23" s="386" t="s">
        <v>2306</v>
      </c>
    </row>
    <row r="24" spans="1:8" ht="18.75" x14ac:dyDescent="0.3">
      <c r="A24" s="108"/>
      <c r="B24" s="70"/>
      <c r="C24" s="49"/>
      <c r="D24" s="256"/>
      <c r="E24" s="73"/>
      <c r="F24" s="91"/>
      <c r="G24" s="110"/>
      <c r="H24" s="75"/>
    </row>
    <row r="25" spans="1:8" ht="18.75" x14ac:dyDescent="0.3">
      <c r="A25" s="108"/>
      <c r="B25" s="70">
        <v>3</v>
      </c>
      <c r="C25" s="49" t="s">
        <v>320</v>
      </c>
      <c r="D25" s="301">
        <v>26650</v>
      </c>
      <c r="E25" s="73"/>
      <c r="F25" s="91"/>
      <c r="G25" s="110">
        <f>D25</f>
        <v>26650</v>
      </c>
      <c r="H25" s="111" t="s">
        <v>321</v>
      </c>
    </row>
    <row r="26" spans="1:8" ht="18.75" x14ac:dyDescent="0.3">
      <c r="A26" s="108" t="s">
        <v>368</v>
      </c>
      <c r="B26" s="70" t="s">
        <v>370</v>
      </c>
      <c r="C26" s="112" t="s">
        <v>371</v>
      </c>
      <c r="D26" s="301"/>
      <c r="E26" s="73">
        <v>900</v>
      </c>
      <c r="F26" s="91"/>
      <c r="G26" s="110">
        <f>G25-E26</f>
        <v>25750</v>
      </c>
      <c r="H26" s="75"/>
    </row>
    <row r="27" spans="1:8" ht="18.75" x14ac:dyDescent="0.3">
      <c r="A27" s="108" t="s">
        <v>574</v>
      </c>
      <c r="B27" s="70" t="s">
        <v>579</v>
      </c>
      <c r="C27" s="112" t="s">
        <v>580</v>
      </c>
      <c r="D27" s="301"/>
      <c r="E27" s="109">
        <v>14700</v>
      </c>
      <c r="F27" s="91"/>
      <c r="G27" s="110">
        <f t="shared" ref="G27:G36" si="1">G26-E27</f>
        <v>11050</v>
      </c>
      <c r="H27" s="75"/>
    </row>
    <row r="28" spans="1:8" ht="18.75" x14ac:dyDescent="0.3">
      <c r="A28" s="108" t="s">
        <v>615</v>
      </c>
      <c r="B28" s="70" t="s">
        <v>625</v>
      </c>
      <c r="C28" s="112" t="s">
        <v>627</v>
      </c>
      <c r="D28" s="301"/>
      <c r="E28" s="73">
        <v>2700</v>
      </c>
      <c r="F28" s="91"/>
      <c r="G28" s="110">
        <f t="shared" si="1"/>
        <v>8350</v>
      </c>
      <c r="H28" s="75"/>
    </row>
    <row r="29" spans="1:8" ht="18.75" x14ac:dyDescent="0.3">
      <c r="A29" s="108" t="s">
        <v>632</v>
      </c>
      <c r="B29" s="70" t="s">
        <v>626</v>
      </c>
      <c r="C29" s="112" t="s">
        <v>628</v>
      </c>
      <c r="D29" s="301"/>
      <c r="E29" s="73">
        <v>300</v>
      </c>
      <c r="F29" s="91"/>
      <c r="G29" s="110">
        <f t="shared" si="1"/>
        <v>8050</v>
      </c>
      <c r="H29" s="75"/>
    </row>
    <row r="30" spans="1:8" ht="18.75" x14ac:dyDescent="0.3">
      <c r="A30" s="108" t="s">
        <v>664</v>
      </c>
      <c r="B30" s="70" t="s">
        <v>667</v>
      </c>
      <c r="C30" s="112" t="s">
        <v>668</v>
      </c>
      <c r="D30" s="301"/>
      <c r="E30" s="73">
        <v>900</v>
      </c>
      <c r="F30" s="91"/>
      <c r="G30" s="110">
        <f t="shared" si="1"/>
        <v>7150</v>
      </c>
      <c r="H30" s="75"/>
    </row>
    <row r="31" spans="1:8" ht="18.75" x14ac:dyDescent="0.3">
      <c r="A31" s="108" t="s">
        <v>864</v>
      </c>
      <c r="B31" s="70" t="s">
        <v>883</v>
      </c>
      <c r="C31" s="112" t="s">
        <v>882</v>
      </c>
      <c r="D31" s="301"/>
      <c r="E31" s="73">
        <v>900</v>
      </c>
      <c r="F31" s="91"/>
      <c r="G31" s="110">
        <f t="shared" si="1"/>
        <v>6250</v>
      </c>
      <c r="H31" s="75"/>
    </row>
    <row r="32" spans="1:8" ht="18.75" x14ac:dyDescent="0.3">
      <c r="A32" s="108" t="s">
        <v>1061</v>
      </c>
      <c r="B32" s="70" t="s">
        <v>1099</v>
      </c>
      <c r="C32" s="112" t="s">
        <v>1098</v>
      </c>
      <c r="D32" s="301"/>
      <c r="E32" s="73">
        <v>900</v>
      </c>
      <c r="F32" s="91"/>
      <c r="G32" s="110">
        <f t="shared" si="1"/>
        <v>5350</v>
      </c>
      <c r="H32" s="75"/>
    </row>
    <row r="33" spans="1:8" ht="18.75" x14ac:dyDescent="0.3">
      <c r="A33" s="108" t="s">
        <v>1167</v>
      </c>
      <c r="B33" s="70" t="s">
        <v>1168</v>
      </c>
      <c r="C33" s="112" t="s">
        <v>1169</v>
      </c>
      <c r="D33" s="301"/>
      <c r="E33" s="73">
        <v>900</v>
      </c>
      <c r="F33" s="91"/>
      <c r="G33" s="110">
        <f t="shared" si="1"/>
        <v>4450</v>
      </c>
      <c r="H33" s="75"/>
    </row>
    <row r="34" spans="1:8" ht="18.75" x14ac:dyDescent="0.3">
      <c r="A34" s="108" t="s">
        <v>1381</v>
      </c>
      <c r="B34" s="70" t="s">
        <v>1391</v>
      </c>
      <c r="C34" s="112" t="s">
        <v>1390</v>
      </c>
      <c r="D34" s="301"/>
      <c r="E34" s="73">
        <v>900</v>
      </c>
      <c r="F34" s="91"/>
      <c r="G34" s="110">
        <f t="shared" si="1"/>
        <v>3550</v>
      </c>
      <c r="H34" s="75"/>
    </row>
    <row r="35" spans="1:8" ht="18.75" x14ac:dyDescent="0.3">
      <c r="A35" s="108"/>
      <c r="B35" s="70"/>
      <c r="C35" s="112" t="s">
        <v>1452</v>
      </c>
      <c r="D35" s="301"/>
      <c r="E35" s="73">
        <v>-1470</v>
      </c>
      <c r="F35" s="91"/>
      <c r="G35" s="110">
        <f t="shared" si="1"/>
        <v>5020</v>
      </c>
      <c r="H35" s="75"/>
    </row>
    <row r="36" spans="1:8" ht="18.75" x14ac:dyDescent="0.3">
      <c r="A36" s="108" t="s">
        <v>1558</v>
      </c>
      <c r="B36" s="70" t="s">
        <v>1560</v>
      </c>
      <c r="C36" s="112" t="s">
        <v>1561</v>
      </c>
      <c r="D36" s="301"/>
      <c r="E36" s="73">
        <v>900</v>
      </c>
      <c r="F36" s="91"/>
      <c r="G36" s="110">
        <f t="shared" si="1"/>
        <v>4120</v>
      </c>
      <c r="H36" s="75"/>
    </row>
    <row r="37" spans="1:8" ht="18.75" x14ac:dyDescent="0.3">
      <c r="A37" s="108"/>
      <c r="B37" s="70"/>
      <c r="C37" s="49" t="s">
        <v>1165</v>
      </c>
      <c r="D37" s="302">
        <v>14700</v>
      </c>
      <c r="E37" s="73"/>
      <c r="F37" s="91"/>
      <c r="G37" s="110">
        <f>G36+D37</f>
        <v>18820</v>
      </c>
      <c r="H37" s="75"/>
    </row>
    <row r="38" spans="1:8" ht="18.75" x14ac:dyDescent="0.3">
      <c r="A38" s="89" t="s">
        <v>1158</v>
      </c>
      <c r="B38" s="90" t="s">
        <v>1166</v>
      </c>
      <c r="C38" s="49" t="s">
        <v>817</v>
      </c>
      <c r="D38" s="302"/>
      <c r="E38" s="110">
        <v>14700</v>
      </c>
      <c r="F38" s="91"/>
      <c r="G38" s="110">
        <f>G37-E38</f>
        <v>4120</v>
      </c>
      <c r="H38" s="75"/>
    </row>
    <row r="39" spans="1:8" ht="18.75" x14ac:dyDescent="0.3">
      <c r="A39" s="89"/>
      <c r="B39" s="90"/>
      <c r="C39" s="49" t="s">
        <v>1683</v>
      </c>
      <c r="D39" s="302"/>
      <c r="E39" s="110">
        <v>-840</v>
      </c>
      <c r="F39" s="91"/>
      <c r="G39" s="110">
        <f t="shared" ref="G39" si="2">G38-E39</f>
        <v>4960</v>
      </c>
      <c r="H39" s="75"/>
    </row>
    <row r="40" spans="1:8" ht="18.75" x14ac:dyDescent="0.3">
      <c r="A40" s="108" t="s">
        <v>1568</v>
      </c>
      <c r="B40" s="70"/>
      <c r="C40" s="218" t="s">
        <v>1639</v>
      </c>
      <c r="D40" s="301">
        <v>33250</v>
      </c>
      <c r="E40" s="73"/>
      <c r="F40" s="91"/>
      <c r="G40" s="110">
        <f>G39+D40</f>
        <v>38210</v>
      </c>
      <c r="H40" s="75"/>
    </row>
    <row r="41" spans="1:8" ht="18.75" x14ac:dyDescent="0.3">
      <c r="A41" s="108" t="s">
        <v>1685</v>
      </c>
      <c r="B41" s="70" t="s">
        <v>1621</v>
      </c>
      <c r="C41" s="112" t="s">
        <v>1687</v>
      </c>
      <c r="D41" s="301"/>
      <c r="E41" s="73">
        <v>900</v>
      </c>
      <c r="F41" s="91"/>
      <c r="G41" s="110">
        <f>G40-E41</f>
        <v>37310</v>
      </c>
      <c r="H41" s="75"/>
    </row>
    <row r="42" spans="1:8" ht="18.75" x14ac:dyDescent="0.3">
      <c r="A42" s="108" t="s">
        <v>1839</v>
      </c>
      <c r="B42" s="70" t="s">
        <v>1853</v>
      </c>
      <c r="C42" s="112" t="s">
        <v>1852</v>
      </c>
      <c r="D42" s="301"/>
      <c r="E42" s="73">
        <v>2250</v>
      </c>
      <c r="F42" s="91"/>
      <c r="G42" s="110">
        <f>G41-E42</f>
        <v>35060</v>
      </c>
      <c r="H42" s="75"/>
    </row>
    <row r="43" spans="1:8" ht="18.75" x14ac:dyDescent="0.3">
      <c r="A43" s="108" t="s">
        <v>2221</v>
      </c>
      <c r="B43" s="70" t="s">
        <v>2248</v>
      </c>
      <c r="C43" s="112" t="s">
        <v>1920</v>
      </c>
      <c r="D43" s="301"/>
      <c r="E43" s="73">
        <v>900</v>
      </c>
      <c r="F43" s="91"/>
      <c r="G43" s="110">
        <f>G42-E43-F43</f>
        <v>34160</v>
      </c>
      <c r="H43" s="75"/>
    </row>
    <row r="44" spans="1:8" ht="18.75" x14ac:dyDescent="0.3">
      <c r="A44" s="108" t="s">
        <v>1960</v>
      </c>
      <c r="B44" s="70" t="s">
        <v>1961</v>
      </c>
      <c r="C44" s="112" t="s">
        <v>1962</v>
      </c>
      <c r="D44" s="301"/>
      <c r="E44" s="110">
        <v>26250</v>
      </c>
      <c r="F44" s="91"/>
      <c r="G44" s="110">
        <f>G43-E44-F44</f>
        <v>7910</v>
      </c>
      <c r="H44" s="75"/>
    </row>
    <row r="45" spans="1:8" ht="18.75" x14ac:dyDescent="0.3">
      <c r="A45" s="108" t="s">
        <v>2480</v>
      </c>
      <c r="B45" s="70" t="s">
        <v>2426</v>
      </c>
      <c r="C45" s="112" t="s">
        <v>2113</v>
      </c>
      <c r="D45" s="256"/>
      <c r="E45" s="73">
        <v>900</v>
      </c>
      <c r="F45" s="91"/>
      <c r="G45" s="110">
        <f>G44-E45-F45</f>
        <v>7010</v>
      </c>
      <c r="H45" s="75"/>
    </row>
    <row r="46" spans="1:8" ht="18.75" x14ac:dyDescent="0.3">
      <c r="A46" s="108" t="s">
        <v>2864</v>
      </c>
      <c r="B46" s="70" t="s">
        <v>2884</v>
      </c>
      <c r="C46" s="112" t="s">
        <v>2353</v>
      </c>
      <c r="D46" s="256"/>
      <c r="E46" s="73">
        <v>900</v>
      </c>
      <c r="F46" s="91"/>
      <c r="G46" s="110">
        <f>G45-E46-F46</f>
        <v>6110</v>
      </c>
      <c r="H46" s="75"/>
    </row>
    <row r="47" spans="1:8" ht="18.75" x14ac:dyDescent="0.3">
      <c r="A47" s="108" t="s">
        <v>2641</v>
      </c>
      <c r="B47" s="70" t="s">
        <v>2682</v>
      </c>
      <c r="C47" s="112" t="s">
        <v>2354</v>
      </c>
      <c r="D47" s="256"/>
      <c r="E47" s="73">
        <v>2250</v>
      </c>
      <c r="F47" s="91"/>
      <c r="G47" s="110">
        <f>G46-E47-F47</f>
        <v>3860</v>
      </c>
      <c r="H47" s="75"/>
    </row>
    <row r="48" spans="1:8" ht="18.75" x14ac:dyDescent="0.3">
      <c r="A48" s="108"/>
      <c r="B48" s="70"/>
      <c r="C48" s="112"/>
      <c r="D48" s="256">
        <v>-3860</v>
      </c>
      <c r="E48" s="73"/>
      <c r="F48" s="91"/>
      <c r="G48" s="110">
        <f>G47+D48</f>
        <v>0</v>
      </c>
      <c r="H48" s="75"/>
    </row>
    <row r="49" spans="1:8" ht="18.75" x14ac:dyDescent="0.3">
      <c r="A49" s="108"/>
      <c r="B49" s="70"/>
      <c r="C49" s="112"/>
      <c r="D49" s="256"/>
      <c r="E49" s="73"/>
      <c r="F49" s="91"/>
      <c r="G49" s="110"/>
      <c r="H49" s="75"/>
    </row>
    <row r="50" spans="1:8" ht="18.75" x14ac:dyDescent="0.3">
      <c r="A50" s="108"/>
      <c r="B50" s="70">
        <v>4</v>
      </c>
      <c r="C50" s="112" t="s">
        <v>634</v>
      </c>
      <c r="D50" s="256">
        <v>74290</v>
      </c>
      <c r="E50" s="73"/>
      <c r="F50" s="91"/>
      <c r="G50" s="110">
        <f>D50</f>
        <v>74290</v>
      </c>
      <c r="H50" s="75" t="s">
        <v>24</v>
      </c>
    </row>
    <row r="51" spans="1:8" ht="18.75" x14ac:dyDescent="0.3">
      <c r="A51" s="108"/>
      <c r="B51" s="70"/>
      <c r="C51" s="112" t="s">
        <v>635</v>
      </c>
      <c r="D51" s="256"/>
      <c r="E51" s="110"/>
      <c r="F51" s="91"/>
      <c r="G51" s="110"/>
      <c r="H51" s="75"/>
    </row>
    <row r="52" spans="1:8" ht="18.75" x14ac:dyDescent="0.3">
      <c r="A52" s="108" t="s">
        <v>928</v>
      </c>
      <c r="B52" s="70" t="s">
        <v>933</v>
      </c>
      <c r="C52" s="112" t="s">
        <v>934</v>
      </c>
      <c r="D52" s="256"/>
      <c r="E52" s="110">
        <v>68155</v>
      </c>
      <c r="F52" s="91"/>
      <c r="G52" s="110">
        <f>G50-E52</f>
        <v>6135</v>
      </c>
      <c r="H52" s="75"/>
    </row>
    <row r="53" spans="1:8" ht="18.75" x14ac:dyDescent="0.3">
      <c r="A53" s="108" t="s">
        <v>1541</v>
      </c>
      <c r="B53" s="70"/>
      <c r="C53" s="112" t="s">
        <v>1576</v>
      </c>
      <c r="D53" s="256">
        <v>-6135</v>
      </c>
      <c r="E53" s="110"/>
      <c r="F53" s="91"/>
      <c r="G53" s="110">
        <f>G52+D53</f>
        <v>0</v>
      </c>
      <c r="H53" s="75"/>
    </row>
    <row r="54" spans="1:8" ht="18.75" x14ac:dyDescent="0.3">
      <c r="A54" s="108"/>
      <c r="B54" s="70"/>
      <c r="C54" s="112"/>
      <c r="D54" s="256"/>
      <c r="E54" s="110"/>
      <c r="F54" s="91"/>
      <c r="G54" s="110"/>
      <c r="H54" s="75"/>
    </row>
    <row r="55" spans="1:8" ht="18.75" x14ac:dyDescent="0.3">
      <c r="A55" s="108"/>
      <c r="B55" s="70">
        <v>5</v>
      </c>
      <c r="C55" s="112" t="s">
        <v>1122</v>
      </c>
      <c r="D55" s="256">
        <v>38200</v>
      </c>
      <c r="E55" s="110"/>
      <c r="F55" s="91"/>
      <c r="G55" s="110">
        <v>38200</v>
      </c>
      <c r="H55" s="75" t="s">
        <v>296</v>
      </c>
    </row>
    <row r="56" spans="1:8" ht="18.75" x14ac:dyDescent="0.3">
      <c r="A56" s="108" t="s">
        <v>1061</v>
      </c>
      <c r="B56" s="70" t="s">
        <v>1140</v>
      </c>
      <c r="C56" s="112" t="s">
        <v>1141</v>
      </c>
      <c r="D56" s="256"/>
      <c r="E56" s="110">
        <v>4000</v>
      </c>
      <c r="F56" s="91"/>
      <c r="G56" s="110">
        <f>G55-E56</f>
        <v>34200</v>
      </c>
      <c r="H56" s="75"/>
    </row>
    <row r="57" spans="1:8" ht="18.75" x14ac:dyDescent="0.3">
      <c r="A57" s="108" t="s">
        <v>1151</v>
      </c>
      <c r="B57" s="70" t="s">
        <v>1310</v>
      </c>
      <c r="C57" s="112" t="s">
        <v>1311</v>
      </c>
      <c r="D57" s="256"/>
      <c r="E57" s="134">
        <v>33200</v>
      </c>
      <c r="F57" s="91"/>
      <c r="G57" s="110">
        <f>G56-E57</f>
        <v>1000</v>
      </c>
      <c r="H57" s="75"/>
    </row>
    <row r="58" spans="1:8" ht="18.75" x14ac:dyDescent="0.3">
      <c r="A58" s="108" t="s">
        <v>2658</v>
      </c>
      <c r="B58" s="70" t="s">
        <v>2659</v>
      </c>
      <c r="C58" s="112" t="s">
        <v>2349</v>
      </c>
      <c r="D58" s="256"/>
      <c r="E58" s="134">
        <v>1000</v>
      </c>
      <c r="F58" s="91"/>
      <c r="G58" s="110">
        <f>G57-E58-F58</f>
        <v>0</v>
      </c>
      <c r="H58" s="386"/>
    </row>
    <row r="59" spans="1:8" ht="18.75" x14ac:dyDescent="0.3">
      <c r="A59" s="108"/>
      <c r="B59" s="70"/>
      <c r="C59" s="49"/>
      <c r="D59" s="256"/>
      <c r="E59" s="73"/>
      <c r="F59" s="91"/>
      <c r="G59" s="110"/>
      <c r="H59" s="75"/>
    </row>
    <row r="60" spans="1:8" ht="18.75" x14ac:dyDescent="0.3">
      <c r="A60" s="89" t="s">
        <v>1541</v>
      </c>
      <c r="B60" s="90">
        <v>6</v>
      </c>
      <c r="C60" s="49" t="s">
        <v>1575</v>
      </c>
      <c r="D60" s="42">
        <v>13800</v>
      </c>
      <c r="E60" s="110"/>
      <c r="F60" s="134"/>
      <c r="G60" s="110">
        <v>13800</v>
      </c>
      <c r="H60" s="75" t="s">
        <v>24</v>
      </c>
    </row>
    <row r="61" spans="1:8" ht="18.75" x14ac:dyDescent="0.3">
      <c r="A61" s="89" t="s">
        <v>1568</v>
      </c>
      <c r="B61" s="90" t="s">
        <v>1577</v>
      </c>
      <c r="C61" s="49" t="s">
        <v>1578</v>
      </c>
      <c r="D61" s="42"/>
      <c r="E61" s="110">
        <v>800</v>
      </c>
      <c r="F61" s="134"/>
      <c r="G61" s="110">
        <f>G60-E61</f>
        <v>13000</v>
      </c>
      <c r="H61" s="75"/>
    </row>
    <row r="62" spans="1:8" ht="18.75" x14ac:dyDescent="0.3">
      <c r="A62" s="89" t="s">
        <v>1606</v>
      </c>
      <c r="B62" s="90" t="s">
        <v>1618</v>
      </c>
      <c r="C62" s="49" t="s">
        <v>1619</v>
      </c>
      <c r="D62" s="42"/>
      <c r="E62" s="110">
        <v>4800</v>
      </c>
      <c r="F62" s="134"/>
      <c r="G62" s="110">
        <f>G61-E62</f>
        <v>8200</v>
      </c>
      <c r="H62" s="75"/>
    </row>
    <row r="63" spans="1:8" ht="18.75" x14ac:dyDescent="0.3">
      <c r="A63" s="89" t="s">
        <v>1680</v>
      </c>
      <c r="B63" s="90" t="s">
        <v>1486</v>
      </c>
      <c r="C63" s="49" t="s">
        <v>1681</v>
      </c>
      <c r="D63" s="42"/>
      <c r="E63" s="110">
        <v>5200</v>
      </c>
      <c r="F63" s="134"/>
      <c r="G63" s="110">
        <f>G62-E63</f>
        <v>3000</v>
      </c>
      <c r="H63" s="75"/>
    </row>
    <row r="64" spans="1:8" ht="18.75" x14ac:dyDescent="0.3">
      <c r="A64" s="89" t="s">
        <v>1842</v>
      </c>
      <c r="B64" s="90" t="s">
        <v>1894</v>
      </c>
      <c r="C64" s="49" t="s">
        <v>1893</v>
      </c>
      <c r="D64" s="42"/>
      <c r="E64" s="110">
        <v>1400</v>
      </c>
      <c r="F64" s="134"/>
      <c r="G64" s="110">
        <f>G63-E64</f>
        <v>1600</v>
      </c>
      <c r="H64" s="75"/>
    </row>
    <row r="65" spans="1:8" ht="18.75" x14ac:dyDescent="0.3">
      <c r="A65" s="89"/>
      <c r="B65" s="90"/>
      <c r="C65" s="49"/>
      <c r="D65" s="42">
        <v>-1600</v>
      </c>
      <c r="E65" s="110"/>
      <c r="F65" s="134"/>
      <c r="G65" s="110">
        <f>G64+D65</f>
        <v>0</v>
      </c>
      <c r="H65" s="386" t="s">
        <v>2306</v>
      </c>
    </row>
    <row r="66" spans="1:8" ht="18.75" x14ac:dyDescent="0.3">
      <c r="A66" s="89"/>
      <c r="B66" s="90"/>
      <c r="C66" s="49"/>
      <c r="D66" s="42"/>
      <c r="E66" s="110"/>
      <c r="F66" s="134"/>
      <c r="G66" s="110"/>
      <c r="H66" s="75"/>
    </row>
    <row r="67" spans="1:8" ht="18.75" x14ac:dyDescent="0.3">
      <c r="A67" s="89"/>
      <c r="B67" s="90">
        <v>8</v>
      </c>
      <c r="C67" s="49" t="s">
        <v>1935</v>
      </c>
      <c r="D67" s="42">
        <v>85000</v>
      </c>
      <c r="E67" s="110"/>
      <c r="F67" s="134"/>
      <c r="G67" s="110">
        <f>D67</f>
        <v>85000</v>
      </c>
      <c r="H67" s="75" t="s">
        <v>23</v>
      </c>
    </row>
    <row r="68" spans="1:8" ht="18.75" x14ac:dyDescent="0.3">
      <c r="A68" s="89" t="s">
        <v>2540</v>
      </c>
      <c r="B68" s="90" t="s">
        <v>2541</v>
      </c>
      <c r="C68" s="49" t="s">
        <v>2382</v>
      </c>
      <c r="D68" s="42"/>
      <c r="E68" s="110">
        <v>62800</v>
      </c>
      <c r="F68" s="134"/>
      <c r="G68" s="110">
        <f>G67-E68-F68</f>
        <v>22200</v>
      </c>
      <c r="H68" s="75"/>
    </row>
    <row r="69" spans="1:8" ht="18.75" x14ac:dyDescent="0.3">
      <c r="A69" s="89" t="s">
        <v>2540</v>
      </c>
      <c r="B69" s="90" t="s">
        <v>2560</v>
      </c>
      <c r="C69" s="49" t="s">
        <v>675</v>
      </c>
      <c r="D69" s="42"/>
      <c r="E69" s="134">
        <v>10000</v>
      </c>
      <c r="F69" s="134"/>
      <c r="G69" s="110">
        <f>G68-E69-F69</f>
        <v>12200</v>
      </c>
      <c r="H69" s="75"/>
    </row>
    <row r="70" spans="1:8" ht="18.75" x14ac:dyDescent="0.3">
      <c r="A70" s="89"/>
      <c r="B70" s="90" t="s">
        <v>2562</v>
      </c>
      <c r="C70" s="49" t="s">
        <v>1286</v>
      </c>
      <c r="D70" s="42"/>
      <c r="E70" s="134">
        <v>12000</v>
      </c>
      <c r="F70" s="134"/>
      <c r="G70" s="110">
        <f>G69-E70-F70</f>
        <v>200</v>
      </c>
      <c r="H70" s="75"/>
    </row>
    <row r="71" spans="1:8" ht="18.75" x14ac:dyDescent="0.3">
      <c r="A71" s="89"/>
      <c r="B71" s="90"/>
      <c r="C71" s="49"/>
      <c r="D71" s="42">
        <v>-200</v>
      </c>
      <c r="E71" s="110"/>
      <c r="F71" s="134"/>
      <c r="G71" s="110">
        <f>G70+D71</f>
        <v>0</v>
      </c>
      <c r="H71" s="75"/>
    </row>
    <row r="72" spans="1:8" ht="18.75" x14ac:dyDescent="0.3">
      <c r="A72" s="89"/>
      <c r="B72" s="90"/>
      <c r="C72" s="49"/>
      <c r="D72" s="42"/>
      <c r="E72" s="110"/>
      <c r="F72" s="134"/>
      <c r="G72" s="110"/>
      <c r="H72" s="75"/>
    </row>
    <row r="73" spans="1:8" ht="18.75" x14ac:dyDescent="0.3">
      <c r="A73" s="89"/>
      <c r="B73" s="90"/>
      <c r="C73" s="49"/>
      <c r="D73" s="42"/>
      <c r="E73" s="110"/>
      <c r="F73" s="134"/>
      <c r="G73" s="110"/>
      <c r="H73" s="75"/>
    </row>
    <row r="74" spans="1:8" ht="18.75" x14ac:dyDescent="0.3">
      <c r="A74" s="89"/>
      <c r="B74" s="90"/>
      <c r="C74" s="49"/>
      <c r="D74" s="42"/>
      <c r="E74" s="110"/>
      <c r="F74" s="134"/>
      <c r="G74" s="110"/>
      <c r="H74" s="75"/>
    </row>
    <row r="75" spans="1:8" ht="18.75" x14ac:dyDescent="0.3">
      <c r="A75" s="89"/>
      <c r="B75" s="90">
        <v>10</v>
      </c>
      <c r="C75" s="49" t="s">
        <v>2337</v>
      </c>
      <c r="D75" s="42">
        <v>4880</v>
      </c>
      <c r="E75" s="110"/>
      <c r="F75" s="134"/>
      <c r="G75" s="110">
        <f t="shared" ref="G75:G79" si="3">D75</f>
        <v>4880</v>
      </c>
      <c r="H75" s="75" t="s">
        <v>2336</v>
      </c>
    </row>
    <row r="76" spans="1:8" ht="18.75" x14ac:dyDescent="0.3">
      <c r="A76" s="89" t="s">
        <v>2540</v>
      </c>
      <c r="B76" s="90" t="s">
        <v>2551</v>
      </c>
      <c r="C76" s="49" t="s">
        <v>2381</v>
      </c>
      <c r="D76" s="42"/>
      <c r="E76" s="110">
        <v>4640</v>
      </c>
      <c r="F76" s="134"/>
      <c r="G76" s="110">
        <f>G75-E76-F76</f>
        <v>240</v>
      </c>
      <c r="H76" s="75"/>
    </row>
    <row r="77" spans="1:8" ht="18.75" x14ac:dyDescent="0.3">
      <c r="A77" s="89" t="s">
        <v>2641</v>
      </c>
      <c r="B77" s="90" t="s">
        <v>2651</v>
      </c>
      <c r="C77" s="49" t="s">
        <v>2552</v>
      </c>
      <c r="D77" s="42"/>
      <c r="E77" s="110">
        <v>240</v>
      </c>
      <c r="F77" s="134"/>
      <c r="G77" s="110">
        <f>G76-E77-F77</f>
        <v>0</v>
      </c>
      <c r="H77" s="75"/>
    </row>
    <row r="78" spans="1:8" ht="18.75" x14ac:dyDescent="0.3">
      <c r="A78" s="89"/>
      <c r="B78" s="90"/>
      <c r="C78" s="49"/>
      <c r="D78" s="42"/>
      <c r="E78" s="110"/>
      <c r="F78" s="134"/>
      <c r="G78" s="110"/>
      <c r="H78" s="75"/>
    </row>
    <row r="79" spans="1:8" ht="18.75" x14ac:dyDescent="0.3">
      <c r="A79" s="89"/>
      <c r="B79" s="90">
        <v>11</v>
      </c>
      <c r="C79" s="49" t="s">
        <v>2338</v>
      </c>
      <c r="D79" s="42">
        <v>3250</v>
      </c>
      <c r="E79" s="110"/>
      <c r="F79" s="134"/>
      <c r="G79" s="110">
        <f t="shared" si="3"/>
        <v>3250</v>
      </c>
      <c r="H79" s="75" t="s">
        <v>2339</v>
      </c>
    </row>
    <row r="80" spans="1:8" ht="18.75" x14ac:dyDescent="0.3">
      <c r="A80" s="89" t="s">
        <v>2420</v>
      </c>
      <c r="B80" s="90" t="s">
        <v>2435</v>
      </c>
      <c r="C80" s="49" t="s">
        <v>2388</v>
      </c>
      <c r="D80" s="42"/>
      <c r="E80" s="110">
        <v>3250</v>
      </c>
      <c r="F80" s="134"/>
      <c r="G80" s="110">
        <v>0</v>
      </c>
      <c r="H80" s="75"/>
    </row>
    <row r="81" spans="1:8" ht="18.75" x14ac:dyDescent="0.3">
      <c r="A81" s="89"/>
      <c r="B81" s="90"/>
      <c r="C81" s="49"/>
      <c r="D81" s="42"/>
      <c r="E81" s="110"/>
      <c r="F81" s="134"/>
      <c r="G81" s="110"/>
      <c r="H81" s="75"/>
    </row>
    <row r="82" spans="1:8" ht="18.75" x14ac:dyDescent="0.3">
      <c r="A82" s="89"/>
      <c r="B82" s="90"/>
      <c r="C82" s="49" t="s">
        <v>1574</v>
      </c>
      <c r="D82" s="42">
        <v>19253</v>
      </c>
      <c r="E82" s="73"/>
      <c r="F82" s="134"/>
      <c r="G82" s="110">
        <f>D82</f>
        <v>19253</v>
      </c>
      <c r="H82" s="75"/>
    </row>
    <row r="83" spans="1:8" ht="18.75" x14ac:dyDescent="0.3">
      <c r="A83" s="114"/>
      <c r="B83" s="115"/>
      <c r="C83" s="116" t="s">
        <v>2650</v>
      </c>
      <c r="D83" s="289">
        <v>-19253</v>
      </c>
      <c r="E83" s="35"/>
      <c r="F83" s="141"/>
      <c r="G83" s="35"/>
      <c r="H83" s="117"/>
    </row>
    <row r="84" spans="1:8" ht="19.5" thickBot="1" x14ac:dyDescent="0.35">
      <c r="A84" s="118"/>
      <c r="B84" s="119"/>
      <c r="C84" s="120" t="s">
        <v>150</v>
      </c>
      <c r="D84" s="290">
        <f>SUM(D9:D83)</f>
        <v>470747</v>
      </c>
      <c r="E84" s="121">
        <f>SUM(E6:E83)</f>
        <v>470747</v>
      </c>
      <c r="F84" s="252">
        <f>SUM(F6:F83)</f>
        <v>0</v>
      </c>
      <c r="G84" s="210">
        <f>D84-E84-F84</f>
        <v>0</v>
      </c>
      <c r="H84" s="122"/>
    </row>
    <row r="85" spans="1:8" ht="18" thickTop="1" x14ac:dyDescent="0.3">
      <c r="D85" s="123"/>
      <c r="E85" s="123"/>
      <c r="F85" s="147"/>
      <c r="G85" s="123"/>
    </row>
    <row r="86" spans="1:8" x14ac:dyDescent="0.3">
      <c r="D86" s="230"/>
      <c r="E86" s="123"/>
      <c r="F86" s="147"/>
      <c r="G86" s="123"/>
    </row>
    <row r="87" spans="1:8" x14ac:dyDescent="0.3">
      <c r="D87" s="123"/>
      <c r="E87" s="123"/>
      <c r="F87" s="147"/>
      <c r="G87" s="123"/>
    </row>
    <row r="89" spans="1:8" ht="18.75" x14ac:dyDescent="0.3">
      <c r="B89" s="124"/>
      <c r="C89" s="124"/>
      <c r="D89" s="57"/>
      <c r="E89" s="124"/>
      <c r="F89" s="138"/>
      <c r="G89" s="125"/>
    </row>
    <row r="90" spans="1:8" ht="18.75" x14ac:dyDescent="0.3">
      <c r="B90" s="127"/>
      <c r="C90" s="124"/>
      <c r="D90" s="57"/>
      <c r="E90" s="124"/>
      <c r="F90" s="138"/>
      <c r="G90" s="125"/>
    </row>
    <row r="91" spans="1:8" x14ac:dyDescent="0.3">
      <c r="B91" s="124"/>
      <c r="C91" s="124"/>
      <c r="D91" s="128"/>
      <c r="E91" s="124"/>
      <c r="F91" s="138"/>
      <c r="G91" s="125"/>
    </row>
    <row r="92" spans="1:8" ht="18.75" x14ac:dyDescent="0.3">
      <c r="B92" s="124"/>
      <c r="C92" s="124"/>
      <c r="D92" s="57"/>
      <c r="E92" s="124"/>
      <c r="F92" s="138"/>
      <c r="G92" s="125"/>
    </row>
    <row r="93" spans="1:8" x14ac:dyDescent="0.3">
      <c r="B93" s="124"/>
      <c r="C93" s="124"/>
      <c r="D93" s="129"/>
      <c r="E93" s="124"/>
      <c r="F93" s="138"/>
      <c r="G93" s="124"/>
    </row>
  </sheetData>
  <mergeCells count="2">
    <mergeCell ref="A1:G1"/>
    <mergeCell ref="A2:G2"/>
  </mergeCells>
  <pageMargins left="0.2" right="0.15" top="0.15748031496062992" bottom="0.15748031496062992" header="0.1574803149606299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52</vt:i4>
      </vt:variant>
      <vt:variant>
        <vt:lpstr>ช่วงที่มีชื่อ</vt:lpstr>
      </vt:variant>
      <vt:variant>
        <vt:i4>46</vt:i4>
      </vt:variant>
    </vt:vector>
  </HeadingPairs>
  <TitlesOfParts>
    <vt:vector size="98" baseType="lpstr">
      <vt:lpstr>%ปี2562</vt:lpstr>
      <vt:lpstr>%ปี62 งบ (2)</vt:lpstr>
      <vt:lpstr>งบประจำคุม 1ล้าน</vt:lpstr>
      <vt:lpstr>สรุปคงเหลือ</vt:lpstr>
      <vt:lpstr>งบ1ล้าน หลังสุด</vt:lpstr>
      <vt:lpstr>เงินกัน PO</vt:lpstr>
      <vt:lpstr>รับงบ002(บริหาร) (3)</vt:lpstr>
      <vt:lpstr>งบโครงการ1ล้าน(แรก) รหัส002</vt:lpstr>
      <vt:lpstr>งบโครงการ1ล้าน(แรก) รหัส001</vt:lpstr>
      <vt:lpstr>งบศิลป22ศูนย์</vt:lpstr>
      <vt:lpstr>งบโครงการรหส33061</vt:lpstr>
      <vt:lpstr>งบโครงการรหส33045</vt:lpstr>
      <vt:lpstr>พนง.ราชการ</vt:lpstr>
      <vt:lpstr>39002ค่าจ้าง-ตอบแทน</vt:lpstr>
      <vt:lpstr>ธุรการ33045และ33062</vt:lpstr>
      <vt:lpstr>ธุรการ9,000ครั้งสุดท้าย</vt:lpstr>
      <vt:lpstr>ยาม.แม่บ้าน+จ้างนักการ39002</vt:lpstr>
      <vt:lpstr>ค่าจ้าง002 เหลือจ่าย</vt:lpstr>
      <vt:lpstr>นักการSp2สังคม</vt:lpstr>
      <vt:lpstr>26004ครูพี่เลี้ยง</vt:lpstr>
      <vt:lpstr>ครูแผ่นดิน280410</vt:lpstr>
      <vt:lpstr>สมทบกองทุนลูกจ้าง</vt:lpstr>
      <vt:lpstr>ค่าเช่าบ้าน-ประกันสังคม</vt:lpstr>
      <vt:lpstr>ประกันสังคม (2)</vt:lpstr>
      <vt:lpstr>รหัส39001ก่อนฯ</vt:lpstr>
      <vt:lpstr>บ้านวิทย์ 12 รร</vt:lpstr>
      <vt:lpstr>บ้านนักวิทย์68รร.</vt:lpstr>
      <vt:lpstr>รหัส39002</vt:lpstr>
      <vt:lpstr>รหัส32031..NT</vt:lpstr>
      <vt:lpstr>ประกันแลกเป้า</vt:lpstr>
      <vt:lpstr>รหัส32031.ปฐมวัย12รร (2)</vt:lpstr>
      <vt:lpstr>DLTVรหัส33061</vt:lpstr>
      <vt:lpstr>ช่อมDLTV 24 รร</vt:lpstr>
      <vt:lpstr>DLTV10โรงเรียน</vt:lpstr>
      <vt:lpstr>รหัส33061 (2)</vt:lpstr>
      <vt:lpstr>รหัส33061 ซื้อหนังสือ (2)</vt:lpstr>
      <vt:lpstr>รหัส33062</vt:lpstr>
      <vt:lpstr>รหัส 51041</vt:lpstr>
      <vt:lpstr>รหัส39007</vt:lpstr>
      <vt:lpstr>61037รหัส</vt:lpstr>
      <vt:lpstr>61037รหัส 20 รร.</vt:lpstr>
      <vt:lpstr>39004รหัสเรียนรวม</vt:lpstr>
      <vt:lpstr>งบยาเสพติด06036</vt:lpstr>
      <vt:lpstr>งบยาเสพติด68รร.</vt:lpstr>
      <vt:lpstr>กรรมการสถานศึกษา190รร.</vt:lpstr>
      <vt:lpstr>ค่าเช่าเน็ต39002</vt:lpstr>
      <vt:lpstr>ค่าเช่าเน็ต39002 (ไม่ใช้อันนี้)</vt:lpstr>
      <vt:lpstr>ค่าพาหนะรหัส33061</vt:lpstr>
      <vt:lpstr>ค่าจัดการรถตู้กระบะ</vt:lpstr>
      <vt:lpstr>อุดหนุนร.ร.</vt:lpstr>
      <vt:lpstr>ค่าเน็ตครั้ง2</vt:lpstr>
      <vt:lpstr>งบกลางอื่น (2)</vt:lpstr>
      <vt:lpstr>'26004ครูพี่เลี้ยง'!Print_Titles</vt:lpstr>
      <vt:lpstr>'39002ค่าจ้าง-ตอบแทน'!Print_Titles</vt:lpstr>
      <vt:lpstr>'39004รหัสเรียนรวม'!Print_Titles</vt:lpstr>
      <vt:lpstr>'61037รหัส'!Print_Titles</vt:lpstr>
      <vt:lpstr>'61037รหัส 20 รร.'!Print_Titles</vt:lpstr>
      <vt:lpstr>DLTV10โรงเรียน!Print_Titles</vt:lpstr>
      <vt:lpstr>DLTVรหัส33061!Print_Titles</vt:lpstr>
      <vt:lpstr>กรรมการสถานศึกษา190รร.!Print_Titles</vt:lpstr>
      <vt:lpstr>ครูแผ่นดิน280410!Print_Titles</vt:lpstr>
      <vt:lpstr>ค่าจัดการรถตู้กระบะ!Print_Titles</vt:lpstr>
      <vt:lpstr>'ค่าจ้าง002 เหลือจ่าย'!Print_Titles</vt:lpstr>
      <vt:lpstr>ค่าเช่าเน็ต39002!Print_Titles</vt:lpstr>
      <vt:lpstr>'ค่าเช่าเน็ต39002 (ไม่ใช้อันนี้)'!Print_Titles</vt:lpstr>
      <vt:lpstr>'ค่าเช่าบ้าน-ประกันสังคม'!Print_Titles</vt:lpstr>
      <vt:lpstr>ค่าเน็ตครั้ง2!Print_Titles</vt:lpstr>
      <vt:lpstr>ค่าพาหนะรหัส33061!Print_Titles</vt:lpstr>
      <vt:lpstr>'งบกลางอื่น (2)'!Print_Titles</vt:lpstr>
      <vt:lpstr>'งบโครงการ1ล้าน(แรก) รหัส001'!Print_Titles</vt:lpstr>
      <vt:lpstr>'งบโครงการ1ล้าน(แรก) รหัส002'!Print_Titles</vt:lpstr>
      <vt:lpstr>งบโครงการรหส33045!Print_Titles</vt:lpstr>
      <vt:lpstr>งบโครงการรหส33061!Print_Titles</vt:lpstr>
      <vt:lpstr>'งบประจำคุม 1ล้าน'!Print_Titles</vt:lpstr>
      <vt:lpstr>งบยาเสพติด06036!Print_Titles</vt:lpstr>
      <vt:lpstr>งบยาเสพติด68รร.!Print_Titles</vt:lpstr>
      <vt:lpstr>งบศิลป22ศูนย์!Print_Titles</vt:lpstr>
      <vt:lpstr>'ช่อมDLTV 24 รร'!Print_Titles</vt:lpstr>
      <vt:lpstr>ธุรการ33045และ33062!Print_Titles</vt:lpstr>
      <vt:lpstr>'ธุรการ9,000ครั้งสุดท้าย'!Print_Titles</vt:lpstr>
      <vt:lpstr>นักการSp2สังคม!Print_Titles</vt:lpstr>
      <vt:lpstr>บ้านนักวิทย์68รร.!Print_Titles</vt:lpstr>
      <vt:lpstr>'บ้านวิทย์ 12 รร'!Print_Titles</vt:lpstr>
      <vt:lpstr>ประกันแลกเป้า!Print_Titles</vt:lpstr>
      <vt:lpstr>'ประกันสังคม (2)'!Print_Titles</vt:lpstr>
      <vt:lpstr>พนง.ราชการ!Print_Titles</vt:lpstr>
      <vt:lpstr>'ยาม.แม่บ้าน+จ้างนักการ39002'!Print_Titles</vt:lpstr>
      <vt:lpstr>'รหัส 51041'!Print_Titles</vt:lpstr>
      <vt:lpstr>รหัส32031..NT!Print_Titles</vt:lpstr>
      <vt:lpstr>'รหัส32031.ปฐมวัย12รร (2)'!Print_Titles</vt:lpstr>
      <vt:lpstr>'รหัส33061 (2)'!Print_Titles</vt:lpstr>
      <vt:lpstr>'รหัส33061 ซื้อหนังสือ (2)'!Print_Titles</vt:lpstr>
      <vt:lpstr>รหัส33062!Print_Titles</vt:lpstr>
      <vt:lpstr>รหัส39001ก่อนฯ!Print_Titles</vt:lpstr>
      <vt:lpstr>รหัส39002!Print_Titles</vt:lpstr>
      <vt:lpstr>รหัส39007!Print_Titles</vt:lpstr>
      <vt:lpstr>สมทบกองทุนลูกจ้าง!Print_Titles</vt:lpstr>
      <vt:lpstr>อุดหนุนร.ร.!Print_Titles</vt:lpstr>
    </vt:vector>
  </TitlesOfParts>
  <Company>Winseven2009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money1</cp:lastModifiedBy>
  <cp:lastPrinted>2019-10-10T04:25:01Z</cp:lastPrinted>
  <dcterms:created xsi:type="dcterms:W3CDTF">2011-10-16T03:43:31Z</dcterms:created>
  <dcterms:modified xsi:type="dcterms:W3CDTF">2020-01-30T12:14:13Z</dcterms:modified>
</cp:coreProperties>
</file>